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755" yWindow="-195" windowWidth="15090" windowHeight="37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</definedNames>
  <calcPr calcId="125725"/>
</workbook>
</file>

<file path=xl/calcChain.xml><?xml version="1.0" encoding="utf-8"?>
<calcChain xmlns="http://schemas.openxmlformats.org/spreadsheetml/2006/main">
  <c r="G194" i="1"/>
  <c r="F194"/>
  <c r="E194"/>
  <c r="G193"/>
  <c r="F193"/>
  <c r="E193"/>
  <c r="G192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G169"/>
  <c r="F169"/>
  <c r="E169"/>
  <c r="G168"/>
  <c r="F168"/>
  <c r="E168"/>
  <c r="G167"/>
  <c r="F167"/>
  <c r="E167"/>
  <c r="G166"/>
  <c r="F166"/>
  <c r="E166"/>
  <c r="G165"/>
  <c r="F165"/>
  <c r="E165"/>
  <c r="G164"/>
  <c r="F164"/>
  <c r="E164"/>
  <c r="G163"/>
  <c r="F163"/>
  <c r="E163"/>
  <c r="G162"/>
  <c r="F162"/>
  <c r="E162"/>
  <c r="G161"/>
  <c r="F161"/>
  <c r="E161"/>
  <c r="G160"/>
  <c r="F160"/>
  <c r="E160"/>
  <c r="G159"/>
  <c r="F159"/>
  <c r="E159"/>
  <c r="G158"/>
  <c r="F158"/>
  <c r="E158"/>
  <c r="G157"/>
  <c r="F157"/>
  <c r="E157"/>
  <c r="G156"/>
  <c r="F156"/>
  <c r="E156"/>
  <c r="G155"/>
  <c r="F155"/>
  <c r="E155"/>
  <c r="G154"/>
  <c r="F154"/>
  <c r="E154"/>
  <c r="G153"/>
  <c r="F153"/>
  <c r="E153"/>
  <c r="G152"/>
  <c r="F152"/>
  <c r="E152"/>
  <c r="G151"/>
  <c r="F151"/>
  <c r="E151"/>
  <c r="G150"/>
  <c r="F150"/>
  <c r="E150"/>
  <c r="G149"/>
  <c r="F149"/>
  <c r="E149"/>
  <c r="G148"/>
  <c r="F148"/>
  <c r="E148"/>
  <c r="G147"/>
  <c r="F147"/>
  <c r="E147"/>
  <c r="G146"/>
  <c r="F146"/>
  <c r="E146"/>
  <c r="G145"/>
  <c r="F145"/>
  <c r="E145"/>
  <c r="G144"/>
  <c r="F144"/>
  <c r="E144"/>
  <c r="G143"/>
  <c r="F143"/>
  <c r="E143"/>
  <c r="G142"/>
  <c r="F142"/>
  <c r="E142"/>
  <c r="G141"/>
  <c r="F141"/>
  <c r="E141"/>
  <c r="G140"/>
  <c r="F140"/>
  <c r="E140"/>
  <c r="G139"/>
  <c r="F139"/>
  <c r="E139"/>
  <c r="G138"/>
  <c r="F138"/>
  <c r="E138"/>
  <c r="G137"/>
  <c r="F137"/>
  <c r="E137"/>
  <c r="G136"/>
  <c r="F136"/>
  <c r="E136"/>
  <c r="G135"/>
  <c r="F135"/>
  <c r="E135"/>
  <c r="G134"/>
  <c r="F134"/>
  <c r="E134"/>
  <c r="G133"/>
  <c r="F133"/>
  <c r="E133"/>
  <c r="G132"/>
  <c r="F132"/>
  <c r="E132"/>
  <c r="G131"/>
  <c r="F131"/>
  <c r="E131"/>
  <c r="G130"/>
  <c r="F130"/>
  <c r="E130"/>
  <c r="G129"/>
  <c r="F129"/>
  <c r="E129"/>
  <c r="G128"/>
  <c r="F128"/>
  <c r="E128"/>
  <c r="G127"/>
  <c r="F127"/>
  <c r="E127"/>
  <c r="G126"/>
  <c r="F126"/>
  <c r="E126"/>
  <c r="G125"/>
  <c r="F125"/>
  <c r="E125"/>
  <c r="G124"/>
  <c r="F124"/>
  <c r="E124"/>
  <c r="G123"/>
  <c r="F123"/>
  <c r="E123"/>
  <c r="G122"/>
  <c r="F122"/>
  <c r="E122"/>
  <c r="G121"/>
  <c r="F121"/>
  <c r="E121"/>
  <c r="G120"/>
  <c r="F120"/>
  <c r="E120"/>
  <c r="G119"/>
  <c r="F119"/>
  <c r="E119"/>
  <c r="G118"/>
  <c r="F118"/>
  <c r="E118"/>
  <c r="G117"/>
  <c r="F117"/>
  <c r="E117"/>
  <c r="G116"/>
  <c r="F116"/>
  <c r="E116"/>
  <c r="G115"/>
  <c r="F115"/>
  <c r="E115"/>
  <c r="G114"/>
  <c r="F114"/>
  <c r="E114"/>
  <c r="G113"/>
  <c r="F113"/>
  <c r="E113"/>
  <c r="G112"/>
  <c r="F112"/>
  <c r="E112"/>
  <c r="G111"/>
  <c r="F111"/>
  <c r="E111"/>
  <c r="G110"/>
  <c r="F110"/>
  <c r="E110"/>
  <c r="G109"/>
  <c r="F109"/>
  <c r="E109"/>
  <c r="G108"/>
  <c r="F108"/>
  <c r="E108"/>
  <c r="G107"/>
  <c r="F107"/>
  <c r="E107"/>
  <c r="G106"/>
  <c r="F106"/>
  <c r="E106"/>
  <c r="G105"/>
  <c r="F105"/>
  <c r="E105"/>
  <c r="G104"/>
  <c r="F104"/>
  <c r="E104"/>
  <c r="G103"/>
  <c r="F103"/>
  <c r="E103"/>
  <c r="G102"/>
  <c r="F102"/>
  <c r="E102"/>
  <c r="G101"/>
  <c r="F101"/>
  <c r="E101"/>
  <c r="G100"/>
  <c r="F100"/>
  <c r="E100"/>
  <c r="G99"/>
  <c r="F99"/>
  <c r="E99"/>
  <c r="G98"/>
  <c r="F98"/>
  <c r="E98"/>
  <c r="G97"/>
  <c r="F97"/>
  <c r="E97"/>
  <c r="G96"/>
  <c r="F96"/>
  <c r="E96"/>
  <c r="G95"/>
  <c r="F95"/>
  <c r="E95"/>
  <c r="G94"/>
  <c r="F94"/>
  <c r="E94"/>
  <c r="G93"/>
  <c r="F93"/>
  <c r="E93"/>
  <c r="G92"/>
  <c r="F92"/>
  <c r="E92"/>
  <c r="F91"/>
  <c r="E91"/>
  <c r="F90"/>
  <c r="E90"/>
  <c r="F89"/>
  <c r="E89"/>
  <c r="F88"/>
  <c r="E88"/>
  <c r="G87"/>
  <c r="F87"/>
  <c r="E87"/>
  <c r="G86"/>
  <c r="F86"/>
  <c r="E86"/>
  <c r="G85"/>
  <c r="F85"/>
  <c r="E85"/>
  <c r="G84"/>
  <c r="F84"/>
  <c r="E84"/>
  <c r="G83"/>
  <c r="F83"/>
  <c r="E83"/>
  <c r="G82"/>
  <c r="F82"/>
  <c r="E82"/>
  <c r="G81"/>
  <c r="F81"/>
  <c r="E81"/>
  <c r="G80"/>
  <c r="F80"/>
  <c r="E80"/>
  <c r="G79"/>
  <c r="F79"/>
  <c r="E79"/>
  <c r="G78"/>
  <c r="F78"/>
  <c r="E78"/>
  <c r="G77"/>
  <c r="F77"/>
  <c r="E77"/>
  <c r="G76"/>
  <c r="F76"/>
  <c r="E76"/>
  <c r="G75"/>
  <c r="F75"/>
  <c r="E75"/>
  <c r="G74"/>
  <c r="F74"/>
  <c r="E74"/>
  <c r="G73"/>
  <c r="F73"/>
  <c r="E73"/>
  <c r="G72"/>
  <c r="F72"/>
  <c r="E72"/>
  <c r="G71"/>
  <c r="F71"/>
  <c r="E71"/>
  <c r="G70"/>
  <c r="F70"/>
  <c r="E70"/>
  <c r="G69"/>
  <c r="F69"/>
  <c r="E69"/>
  <c r="G68"/>
  <c r="F68"/>
  <c r="E68"/>
  <c r="G67"/>
  <c r="F67"/>
  <c r="E67"/>
  <c r="G66"/>
  <c r="F66"/>
  <c r="E66"/>
  <c r="G65"/>
  <c r="F65"/>
  <c r="E65"/>
  <c r="G64"/>
  <c r="F64"/>
  <c r="E64"/>
  <c r="G63"/>
  <c r="F63"/>
  <c r="E63"/>
  <c r="G62"/>
  <c r="F62"/>
  <c r="E62"/>
  <c r="G61"/>
  <c r="F61"/>
  <c r="E61"/>
  <c r="G60"/>
  <c r="F60"/>
  <c r="E60"/>
  <c r="G59"/>
  <c r="F59"/>
  <c r="E59"/>
  <c r="G58"/>
  <c r="F58"/>
  <c r="E58"/>
  <c r="G57"/>
  <c r="F57"/>
  <c r="E57"/>
  <c r="G56"/>
  <c r="F56"/>
  <c r="E56"/>
  <c r="G55"/>
  <c r="F55"/>
  <c r="E55"/>
  <c r="G54"/>
  <c r="F54"/>
  <c r="E54"/>
  <c r="G53"/>
  <c r="F53"/>
  <c r="E53"/>
  <c r="G52"/>
  <c r="F52"/>
  <c r="E52"/>
  <c r="G51"/>
  <c r="F51"/>
  <c r="E51"/>
  <c r="G50"/>
  <c r="F50"/>
  <c r="E50"/>
  <c r="G49"/>
  <c r="F49"/>
  <c r="E49"/>
  <c r="G48"/>
  <c r="F48"/>
  <c r="E48"/>
  <c r="G47"/>
  <c r="F47"/>
  <c r="E47"/>
  <c r="G46"/>
  <c r="F46"/>
  <c r="E46"/>
  <c r="G45"/>
  <c r="F45"/>
  <c r="E45"/>
  <c r="G44"/>
  <c r="F44"/>
  <c r="E44"/>
  <c r="G43"/>
  <c r="F43"/>
  <c r="E43"/>
  <c r="G42"/>
  <c r="F42"/>
  <c r="E42"/>
  <c r="G41"/>
  <c r="F41"/>
  <c r="E41"/>
  <c r="G40"/>
  <c r="F40"/>
  <c r="E40"/>
  <c r="G39"/>
  <c r="F39"/>
  <c r="E39"/>
  <c r="G38"/>
  <c r="F38"/>
  <c r="E38"/>
  <c r="G37"/>
  <c r="F37"/>
  <c r="E37"/>
  <c r="G36"/>
  <c r="F36"/>
  <c r="E36"/>
  <c r="G35"/>
  <c r="F35"/>
  <c r="E35"/>
  <c r="G34"/>
  <c r="F34"/>
  <c r="E34"/>
  <c r="G33"/>
  <c r="F33"/>
  <c r="E33"/>
  <c r="G32"/>
  <c r="F32"/>
  <c r="E32"/>
  <c r="G31"/>
  <c r="F31"/>
  <c r="E31"/>
  <c r="G30"/>
  <c r="F30"/>
  <c r="E30"/>
  <c r="G29"/>
  <c r="F29"/>
  <c r="E29"/>
  <c r="G28"/>
  <c r="F28"/>
  <c r="E28"/>
  <c r="G27"/>
  <c r="F27"/>
  <c r="E27"/>
  <c r="G26"/>
  <c r="F26"/>
  <c r="E26"/>
  <c r="G25"/>
  <c r="F25"/>
  <c r="E25"/>
  <c r="G24"/>
  <c r="F24"/>
  <c r="E24"/>
  <c r="G23"/>
  <c r="F23"/>
  <c r="E23"/>
  <c r="G22"/>
  <c r="F22"/>
  <c r="E22"/>
  <c r="G21"/>
  <c r="F21"/>
  <c r="E21"/>
  <c r="G20"/>
  <c r="F20"/>
  <c r="E20"/>
  <c r="G19"/>
  <c r="F19"/>
  <c r="E19"/>
  <c r="G18"/>
  <c r="F18"/>
  <c r="E18"/>
  <c r="G17"/>
  <c r="F17"/>
  <c r="E17"/>
  <c r="G16"/>
  <c r="F16"/>
  <c r="E16"/>
  <c r="G15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G8"/>
  <c r="F8"/>
  <c r="E8"/>
  <c r="G7"/>
  <c r="F7"/>
  <c r="E7"/>
  <c r="G6"/>
  <c r="F6"/>
  <c r="E6"/>
  <c r="G5"/>
  <c r="F5"/>
  <c r="E5"/>
  <c r="G4"/>
  <c r="F4"/>
  <c r="E4"/>
  <c r="G3"/>
  <c r="F3"/>
  <c r="E3"/>
  <c r="K2"/>
  <c r="J2"/>
  <c r="I2"/>
</calcChain>
</file>

<file path=xl/sharedStrings.xml><?xml version="1.0" encoding="utf-8"?>
<sst xmlns="http://schemas.openxmlformats.org/spreadsheetml/2006/main" count="586" uniqueCount="425">
  <si>
    <t>Название</t>
  </si>
  <si>
    <t>1\1</t>
  </si>
  <si>
    <t>Клевер</t>
  </si>
  <si>
    <t>26,7х21,8х4,5</t>
  </si>
  <si>
    <t>1\2</t>
  </si>
  <si>
    <t>Клевер рифленый</t>
  </si>
  <si>
    <t>1\3</t>
  </si>
  <si>
    <t>Клевер краковский большой*</t>
  </si>
  <si>
    <t>29,5х29,5х4,5</t>
  </si>
  <si>
    <t>Клевер краковский малый*</t>
  </si>
  <si>
    <t>21,0х21,0х4,5</t>
  </si>
  <si>
    <t>Клевер краковский большой* 1\2</t>
  </si>
  <si>
    <t>Клевер краковский малый* 1\2</t>
  </si>
  <si>
    <t>29,5х29,5х2,5</t>
  </si>
  <si>
    <t>21,0х21,0х2,5</t>
  </si>
  <si>
    <t>1\4</t>
  </si>
  <si>
    <t>Клевер узорчатый</t>
  </si>
  <si>
    <t>1\5</t>
  </si>
  <si>
    <t>Клевер польский</t>
  </si>
  <si>
    <t>29,5х20,0х4,5</t>
  </si>
  <si>
    <t>1\6</t>
  </si>
  <si>
    <t>Клевер руно</t>
  </si>
  <si>
    <t>2\1</t>
  </si>
  <si>
    <t>Ракушка</t>
  </si>
  <si>
    <t>24,0х17,0х6,0</t>
  </si>
  <si>
    <t>2\2</t>
  </si>
  <si>
    <t>Чешуя</t>
  </si>
  <si>
    <t>24,0х18,0х6,0</t>
  </si>
  <si>
    <t>2\3</t>
  </si>
  <si>
    <t>Бикини</t>
  </si>
  <si>
    <t>24,0х24,0х4,5</t>
  </si>
  <si>
    <t>3\1</t>
  </si>
  <si>
    <t>Катушка</t>
  </si>
  <si>
    <t>22,5х8,8х6,0</t>
  </si>
  <si>
    <t>5\1</t>
  </si>
  <si>
    <t xml:space="preserve">Волна гладкая </t>
  </si>
  <si>
    <t>23,7х10,3х4,5</t>
  </si>
  <si>
    <t>5\2</t>
  </si>
  <si>
    <t>Волна шагрень</t>
  </si>
  <si>
    <t>23,7х10,3х6,0</t>
  </si>
  <si>
    <t>5\3</t>
  </si>
  <si>
    <t>Волна №2</t>
  </si>
  <si>
    <t>6\1</t>
  </si>
  <si>
    <t>Пазл</t>
  </si>
  <si>
    <t>6\2</t>
  </si>
  <si>
    <t>26,0х18,0х6,0</t>
  </si>
  <si>
    <t>6\4</t>
  </si>
  <si>
    <t>21,5х16,5х6,0</t>
  </si>
  <si>
    <t>7\1</t>
  </si>
  <si>
    <t>Брук целый (мелкая шагрень)</t>
  </si>
  <si>
    <t>18,0х12,0х6,0</t>
  </si>
  <si>
    <t>7\2</t>
  </si>
  <si>
    <t>Брук двойной (мелкая шагрень)</t>
  </si>
  <si>
    <t>12х12,12,0х6,0х6,0</t>
  </si>
  <si>
    <t>7\3</t>
  </si>
  <si>
    <t>Брук</t>
  </si>
  <si>
    <t>25,0х12,0х5,5</t>
  </si>
  <si>
    <t>7\3\1</t>
  </si>
  <si>
    <t>Брук шагрень</t>
  </si>
  <si>
    <t>7\4</t>
  </si>
  <si>
    <t>Брук West I</t>
  </si>
  <si>
    <t>19,5х14,0х4,0</t>
  </si>
  <si>
    <t>7\5</t>
  </si>
  <si>
    <t>Брук West II</t>
  </si>
  <si>
    <t>15,0х14,0х4,0</t>
  </si>
  <si>
    <t>7\6</t>
  </si>
  <si>
    <t>Брук II</t>
  </si>
  <si>
    <t>11,7х11,7х6,0</t>
  </si>
  <si>
    <t>7\7</t>
  </si>
  <si>
    <t>Брук Чешский</t>
  </si>
  <si>
    <t>10,0х10,0(5,0)х5,5</t>
  </si>
  <si>
    <t>8\1</t>
  </si>
  <si>
    <t>Маг</t>
  </si>
  <si>
    <t>22,5х13,6х6,0</t>
  </si>
  <si>
    <t>9\1</t>
  </si>
  <si>
    <t xml:space="preserve">Молоток </t>
  </si>
  <si>
    <t>22,5х13,5х6,0</t>
  </si>
  <si>
    <t>9\2</t>
  </si>
  <si>
    <t>10\1</t>
  </si>
  <si>
    <t>Кирпич гладкий</t>
  </si>
  <si>
    <t>10,0х20,0х6,0</t>
  </si>
  <si>
    <t>Кирпич шагрень</t>
  </si>
  <si>
    <t>Кирпич шагрень половинка</t>
  </si>
  <si>
    <t>10,0х10,0х6,0</t>
  </si>
  <si>
    <t>10\2</t>
  </si>
  <si>
    <t xml:space="preserve">Ромб </t>
  </si>
  <si>
    <t>19,0х33,0х4,5</t>
  </si>
  <si>
    <t>10\3</t>
  </si>
  <si>
    <t>Ромб узорчатый</t>
  </si>
  <si>
    <t>Ромб узорчатый 1/2 поперечная</t>
  </si>
  <si>
    <t>Ромб узорчатый 1/2 продольная</t>
  </si>
  <si>
    <t>10\4</t>
  </si>
  <si>
    <t>Кирпич Версаче</t>
  </si>
  <si>
    <t>10\5</t>
  </si>
  <si>
    <t>Кирпич шагрень тонкий</t>
  </si>
  <si>
    <t>10,0х20,0х3,0</t>
  </si>
  <si>
    <t>11\1</t>
  </si>
  <si>
    <t>Соты</t>
  </si>
  <si>
    <t>26,0х18,0х4,5</t>
  </si>
  <si>
    <t>Соты1/2</t>
  </si>
  <si>
    <t>12\1</t>
  </si>
  <si>
    <t>Шестигранник звезда</t>
  </si>
  <si>
    <t>18,5х16,0х6,0</t>
  </si>
  <si>
    <t>12\2</t>
  </si>
  <si>
    <t>Шестигранник  шагрень</t>
  </si>
  <si>
    <t>12\3</t>
  </si>
  <si>
    <t>Шестигранник  половинка</t>
  </si>
  <si>
    <t>24,0х23,0х6,0</t>
  </si>
  <si>
    <t>12\4</t>
  </si>
  <si>
    <t>Шестигранник  цветок</t>
  </si>
  <si>
    <t>13\1</t>
  </si>
  <si>
    <t>Восьмерка</t>
  </si>
  <si>
    <t>28,5х23,0х6,0</t>
  </si>
  <si>
    <t>14\1</t>
  </si>
  <si>
    <t>Лист клена</t>
  </si>
  <si>
    <t>20,9х12,5х6,0</t>
  </si>
  <si>
    <t>15\1</t>
  </si>
  <si>
    <t>Молоток двойной</t>
  </si>
  <si>
    <t>19,3х11,4х6,0</t>
  </si>
  <si>
    <t>16\1</t>
  </si>
  <si>
    <t>Эко</t>
  </si>
  <si>
    <t>24,0х24,0х6,0</t>
  </si>
  <si>
    <t>16\2</t>
  </si>
  <si>
    <t>Эко II</t>
  </si>
  <si>
    <t>31,0х40,0х8,0</t>
  </si>
  <si>
    <t>16\3</t>
  </si>
  <si>
    <t xml:space="preserve">Эко III </t>
  </si>
  <si>
    <t>60,0х40,0х10,0</t>
  </si>
  <si>
    <t>19\1</t>
  </si>
  <si>
    <t>Антик</t>
  </si>
  <si>
    <t>20,0х20,0х4,5</t>
  </si>
  <si>
    <t>19\2</t>
  </si>
  <si>
    <t>20,0х10,0х4,5</t>
  </si>
  <si>
    <t>19\3</t>
  </si>
  <si>
    <t>10,0х10,0х4,5</t>
  </si>
  <si>
    <t>19\4</t>
  </si>
  <si>
    <t>28,0х24,0х4,5</t>
  </si>
  <si>
    <t>19\5</t>
  </si>
  <si>
    <t>20\1</t>
  </si>
  <si>
    <t>Круг</t>
  </si>
  <si>
    <t>25,0х25,0х4,5</t>
  </si>
  <si>
    <t>20\3</t>
  </si>
  <si>
    <t>Крест</t>
  </si>
  <si>
    <t>20\2</t>
  </si>
  <si>
    <t>Круг пазл старый месяц</t>
  </si>
  <si>
    <t>20\4</t>
  </si>
  <si>
    <t>Крестик пазл фонарь</t>
  </si>
  <si>
    <t>20\5</t>
  </si>
  <si>
    <t>Крест половинка</t>
  </si>
  <si>
    <t>20\6</t>
  </si>
  <si>
    <t>Крестик пазл  половинка</t>
  </si>
  <si>
    <t>20\7</t>
  </si>
  <si>
    <t xml:space="preserve">Вставка(добор) креста </t>
  </si>
  <si>
    <t>30\1</t>
  </si>
  <si>
    <t>Кораблик</t>
  </si>
  <si>
    <t>37,0х24,0х5,0</t>
  </si>
  <si>
    <t>30\2</t>
  </si>
  <si>
    <t>Рыбка</t>
  </si>
  <si>
    <t>37,0х20,0х5,0</t>
  </si>
  <si>
    <t>30\3</t>
  </si>
  <si>
    <t>Ящерица</t>
  </si>
  <si>
    <t>39,0х33,0х5,0</t>
  </si>
  <si>
    <t>30\4</t>
  </si>
  <si>
    <t>Вставка для квадрата 30х30</t>
  </si>
  <si>
    <t>42,0х12,0х3,0</t>
  </si>
  <si>
    <t>47\1</t>
  </si>
  <si>
    <t>Стопа YETI правая</t>
  </si>
  <si>
    <t>30,0х53,0х4,5</t>
  </si>
  <si>
    <t>47\2</t>
  </si>
  <si>
    <t>Стопа BLACK левая</t>
  </si>
  <si>
    <t>49\1</t>
  </si>
  <si>
    <t>Деталь ступени</t>
  </si>
  <si>
    <t>29,0х25,0х3,5</t>
  </si>
  <si>
    <t>49\2</t>
  </si>
  <si>
    <t>29,0х29,0х3,5</t>
  </si>
  <si>
    <t>49\3</t>
  </si>
  <si>
    <t>25,0х27,0х3,5</t>
  </si>
  <si>
    <t>49\4</t>
  </si>
  <si>
    <t>49\5</t>
  </si>
  <si>
    <t>12,5х12,5х3,5-2шт</t>
  </si>
  <si>
    <t>49\6</t>
  </si>
  <si>
    <t>25,0х12,5х3,5</t>
  </si>
  <si>
    <t>50\1</t>
  </si>
  <si>
    <t>Круг большой</t>
  </si>
  <si>
    <t>50,0х50,0х5,0</t>
  </si>
  <si>
    <t>50\2</t>
  </si>
  <si>
    <t>Круг пазл большой</t>
  </si>
  <si>
    <t>50\3</t>
  </si>
  <si>
    <t>Крест большой</t>
  </si>
  <si>
    <t>50\4</t>
  </si>
  <si>
    <t>Крест пазл большой</t>
  </si>
  <si>
    <t>50\5</t>
  </si>
  <si>
    <t>Крест большой половинка</t>
  </si>
  <si>
    <t>50\6</t>
  </si>
  <si>
    <t>Крест пазл большой половинка</t>
  </si>
  <si>
    <t>51\1</t>
  </si>
  <si>
    <t>Облицовочный кирпич</t>
  </si>
  <si>
    <t>24,0х6,0х2,0</t>
  </si>
  <si>
    <t>52\1</t>
  </si>
  <si>
    <t>Камень облицовочный</t>
  </si>
  <si>
    <t>26,7х33,0х3,0</t>
  </si>
  <si>
    <t>52\2</t>
  </si>
  <si>
    <t>26,7х26,7х,3,0</t>
  </si>
  <si>
    <t>52\3</t>
  </si>
  <si>
    <t>26,7х19,5х3,0</t>
  </si>
  <si>
    <t>52\4</t>
  </si>
  <si>
    <t>26,7х6,0х3,0</t>
  </si>
  <si>
    <t>52\5</t>
  </si>
  <si>
    <t>26,7х12,5х3,0</t>
  </si>
  <si>
    <t>52\6</t>
  </si>
  <si>
    <t>12,5х13,0х3,0</t>
  </si>
  <si>
    <t>52\7</t>
  </si>
  <si>
    <t>75,0 х50,0х3,0</t>
  </si>
  <si>
    <t>52\8</t>
  </si>
  <si>
    <t>49,0х19,0х2,0</t>
  </si>
  <si>
    <t>52\9</t>
  </si>
  <si>
    <t>52\11</t>
  </si>
  <si>
    <t>7,6х16,2х2,0 -4шт</t>
  </si>
  <si>
    <t>52\12</t>
  </si>
  <si>
    <t>7,6х24,8х2,0 -4шт</t>
  </si>
  <si>
    <t>52\13</t>
  </si>
  <si>
    <t>7,6х33,4х2,0 -2шт</t>
  </si>
  <si>
    <t>52\14</t>
  </si>
  <si>
    <t>16,2х16,2х2,0 -4шт</t>
  </si>
  <si>
    <t>52\15</t>
  </si>
  <si>
    <t>16,2х24,8х2,0 -2шт</t>
  </si>
  <si>
    <t>52\16</t>
  </si>
  <si>
    <t>16,2х33,4х2,0 -2шт</t>
  </si>
  <si>
    <t>52\17</t>
  </si>
  <si>
    <t>24,8х24,8х2,0</t>
  </si>
  <si>
    <t>52\18</t>
  </si>
  <si>
    <t>24,8х33,4х2,0</t>
  </si>
  <si>
    <t>71\1</t>
  </si>
  <si>
    <t>Квадрат «гладкий»</t>
  </si>
  <si>
    <t>31,5х31,5х4,0</t>
  </si>
  <si>
    <t>71\2</t>
  </si>
  <si>
    <t>Квадрат «сеть»</t>
  </si>
  <si>
    <t>25,0х25,0х2,5</t>
  </si>
  <si>
    <t>71\3</t>
  </si>
  <si>
    <t>Квадрат «цветок»</t>
  </si>
  <si>
    <t>71\4</t>
  </si>
  <si>
    <t>Квадрат «ромб»</t>
  </si>
  <si>
    <t>25,0х25,0х6,0</t>
  </si>
  <si>
    <t>71\5</t>
  </si>
  <si>
    <t>Квадрат «паркет»</t>
  </si>
  <si>
    <t>30,0х30,0х3,0</t>
  </si>
  <si>
    <t>71\6</t>
  </si>
  <si>
    <t>Квадрат «паутинка»</t>
  </si>
  <si>
    <t>71\7</t>
  </si>
  <si>
    <t>Квадрат «песчаник»</t>
  </si>
  <si>
    <t>71\8</t>
  </si>
  <si>
    <t>Квадрат «восточный орнамент»</t>
  </si>
  <si>
    <t>71\9</t>
  </si>
  <si>
    <t>Квадрат «дикий камень»</t>
  </si>
  <si>
    <t>71\10</t>
  </si>
  <si>
    <t>Квадрат «Косичка»</t>
  </si>
  <si>
    <t>71\11</t>
  </si>
  <si>
    <t>Квадрат «Искра»</t>
  </si>
  <si>
    <t>71\12</t>
  </si>
  <si>
    <t>Квадрат «Зубок»</t>
  </si>
  <si>
    <t>71\13</t>
  </si>
  <si>
    <t>Квадрат круг</t>
  </si>
  <si>
    <t>71\14</t>
  </si>
  <si>
    <t>Квадрат скальник</t>
  </si>
  <si>
    <t>71\15</t>
  </si>
  <si>
    <t>Квадрат галька</t>
  </si>
  <si>
    <t>71\16</t>
  </si>
  <si>
    <t>Квадрат «Тетрис»</t>
  </si>
  <si>
    <t>71\17</t>
  </si>
  <si>
    <t>Тактильная плитка «сфера»</t>
  </si>
  <si>
    <t>71\18</t>
  </si>
  <si>
    <t xml:space="preserve">Вставка(добор) клевера краковского </t>
  </si>
  <si>
    <t>71\19</t>
  </si>
  <si>
    <t>Квадрат «доска»</t>
  </si>
  <si>
    <t>71\20</t>
  </si>
  <si>
    <t>Квадрат «мозаика»</t>
  </si>
  <si>
    <t>71\21</t>
  </si>
  <si>
    <t>Квадрат «Калифорния»</t>
  </si>
  <si>
    <t>72\1</t>
  </si>
  <si>
    <t>Квадрат «клетка»</t>
  </si>
  <si>
    <t>35,0х35,0х5,0</t>
  </si>
  <si>
    <t>72\2</t>
  </si>
  <si>
    <t>Квадрат «4 секции»</t>
  </si>
  <si>
    <t>72\3</t>
  </si>
  <si>
    <t>Квадрат «бабочка»</t>
  </si>
  <si>
    <t>72\4</t>
  </si>
  <si>
    <t>72\6</t>
  </si>
  <si>
    <t>Квадрат «орнамент»</t>
  </si>
  <si>
    <t>72\7</t>
  </si>
  <si>
    <t>Квадрат «8 кирпичей»</t>
  </si>
  <si>
    <t>40,0х40,0х5,0</t>
  </si>
  <si>
    <t>72\7-1</t>
  </si>
  <si>
    <t>72\8</t>
  </si>
  <si>
    <t>72\9</t>
  </si>
  <si>
    <t>Квадрат «подсолнух»</t>
  </si>
  <si>
    <t>72\10</t>
  </si>
  <si>
    <t>Квадрат «дорожка»</t>
  </si>
  <si>
    <t>55,0х55,0х5,0</t>
  </si>
  <si>
    <t>72\11</t>
  </si>
  <si>
    <t>Квадрат гладкий</t>
  </si>
  <si>
    <t>72\12</t>
  </si>
  <si>
    <t>Квадрат «старый камень»</t>
  </si>
  <si>
    <t>45,0х45,0х5,0</t>
  </si>
  <si>
    <t>72\13</t>
  </si>
  <si>
    <t>Квадрат «12 кирпичей»</t>
  </si>
  <si>
    <t>72\14</t>
  </si>
  <si>
    <t>Рогожка</t>
  </si>
  <si>
    <t>39,0х33,0х6,0</t>
  </si>
  <si>
    <t>72\15</t>
  </si>
  <si>
    <t>Квадрат «Восток»</t>
  </si>
  <si>
    <t>72\16</t>
  </si>
  <si>
    <t>Тактильная плитка «Сфера»</t>
  </si>
  <si>
    <t>72\17</t>
  </si>
  <si>
    <t>Тактильная плитка «Зебра»</t>
  </si>
  <si>
    <t>72\18</t>
  </si>
  <si>
    <t>Квадрат «Ковёр»</t>
  </si>
  <si>
    <t>72\19</t>
  </si>
  <si>
    <t>Квадрат «Тучка»</t>
  </si>
  <si>
    <t>40,0х40,0х4,0</t>
  </si>
  <si>
    <t>72\20</t>
  </si>
  <si>
    <t>Квадрат «Радиус»</t>
  </si>
  <si>
    <t>35,0х35,0х4,0</t>
  </si>
  <si>
    <t>72\21</t>
  </si>
  <si>
    <t>Квадрат «Спираль»</t>
  </si>
  <si>
    <t>74\1</t>
  </si>
  <si>
    <t>Брук римский</t>
  </si>
  <si>
    <t>12,0х12,0:12,0х6,0</t>
  </si>
  <si>
    <t>74\2</t>
  </si>
  <si>
    <t>74\3</t>
  </si>
  <si>
    <t>10,5х8,0х6,0</t>
  </si>
  <si>
    <t>74\4</t>
  </si>
  <si>
    <t>12,0х5,0х6,0</t>
  </si>
  <si>
    <t>74\5</t>
  </si>
  <si>
    <t>9,0х12,0х6,0</t>
  </si>
  <si>
    <t>81\0</t>
  </si>
  <si>
    <t>Водосток садовый 0,5м</t>
  </si>
  <si>
    <t>50,0х16,0х6,0</t>
  </si>
  <si>
    <t>81\1</t>
  </si>
  <si>
    <t>Водосток малый</t>
  </si>
  <si>
    <t>26,0х16,0х8,0</t>
  </si>
  <si>
    <t>81\2</t>
  </si>
  <si>
    <t>Водосток большой</t>
  </si>
  <si>
    <t>35,0х25,0х8,0</t>
  </si>
  <si>
    <t>81\3</t>
  </si>
  <si>
    <t>Дренаж</t>
  </si>
  <si>
    <t>50,0х17,5х8,0</t>
  </si>
  <si>
    <t>81\4</t>
  </si>
  <si>
    <t>Решётка дренажная</t>
  </si>
  <si>
    <t>50,0х13,0</t>
  </si>
  <si>
    <t>82\1</t>
  </si>
  <si>
    <t>Бордюр толстый</t>
  </si>
  <si>
    <t>50,0х21,0х7,0</t>
  </si>
  <si>
    <t>82\2</t>
  </si>
  <si>
    <t>Бордюр тонкий</t>
  </si>
  <si>
    <t>50,0х21,0х4,5</t>
  </si>
  <si>
    <t>82\3</t>
  </si>
  <si>
    <t>Бордюр двухсторонний</t>
  </si>
  <si>
    <t>82\4</t>
  </si>
  <si>
    <t>Бордюр полукруг</t>
  </si>
  <si>
    <t>Бордюр дорожный</t>
  </si>
  <si>
    <t>100,0х22,0х7,5</t>
  </si>
  <si>
    <t>91\1</t>
  </si>
  <si>
    <t>Балясина</t>
  </si>
  <si>
    <t>70,0х16,5</t>
  </si>
  <si>
    <t>91\2</t>
  </si>
  <si>
    <t>80,0х16,5</t>
  </si>
  <si>
    <t>91\3</t>
  </si>
  <si>
    <t>92\1А</t>
  </si>
  <si>
    <t>Крышки для забора</t>
  </si>
  <si>
    <t>39,0х39,0х6,5</t>
  </si>
  <si>
    <t>92\1В</t>
  </si>
  <si>
    <t>49,0х49,0х6,5</t>
  </si>
  <si>
    <t>92\2А</t>
  </si>
  <si>
    <t>50,0х18,0х5,5</t>
  </si>
  <si>
    <t>92\2В</t>
  </si>
  <si>
    <t>39,0х27,0х5,5</t>
  </si>
  <si>
    <t>92\2С</t>
  </si>
  <si>
    <t>39,0х35,0х5,5</t>
  </si>
  <si>
    <t>92\3</t>
  </si>
  <si>
    <t>Крышки для забора «медуза»</t>
  </si>
  <si>
    <t>45,0х45,0х10,5</t>
  </si>
  <si>
    <t>92\4</t>
  </si>
  <si>
    <t>27,0х47х6,5</t>
  </si>
  <si>
    <t>93\1</t>
  </si>
  <si>
    <t>Решётка садовая малая</t>
  </si>
  <si>
    <t>93\2</t>
  </si>
  <si>
    <t>Решётка садовая большая</t>
  </si>
  <si>
    <t>55,0х55,0х4,5</t>
  </si>
  <si>
    <t>93\3</t>
  </si>
  <si>
    <t>Решётка садовая прямоугольная</t>
  </si>
  <si>
    <t>60,0х50,0х4,5</t>
  </si>
  <si>
    <t xml:space="preserve">Квадрат «8 кирпичей» крупная шагрень  </t>
  </si>
  <si>
    <t>Квадрат «Новая Калифорния»</t>
  </si>
  <si>
    <t>71\22</t>
  </si>
  <si>
    <t>92\1С</t>
  </si>
  <si>
    <t>30,0х30,0х6,5</t>
  </si>
  <si>
    <t>82\0</t>
  </si>
  <si>
    <t>73\0</t>
  </si>
  <si>
    <t>Доска террасная</t>
  </si>
  <si>
    <t>91\4</t>
  </si>
  <si>
    <t>Перила для балясины</t>
  </si>
  <si>
    <t>100,0х20,0х6,0</t>
  </si>
  <si>
    <t>Объем</t>
  </si>
  <si>
    <t>Размер</t>
  </si>
  <si>
    <t>кол-во</t>
  </si>
  <si>
    <t>вес</t>
  </si>
  <si>
    <t>кв/м</t>
  </si>
  <si>
    <t>26,7х21,8х6,0</t>
  </si>
  <si>
    <t>26,7х21,8х2,5</t>
  </si>
  <si>
    <t>22,5х8,8х8,0</t>
  </si>
  <si>
    <t>23,7х10,3х8,0</t>
  </si>
  <si>
    <t>10,0х20,0х8,0</t>
  </si>
  <si>
    <t>24,0х23,0х4,5</t>
  </si>
  <si>
    <t>72\5</t>
  </si>
  <si>
    <t>Квадрат «облако»</t>
  </si>
  <si>
    <t>72\22</t>
  </si>
  <si>
    <t>Квадрат «3 доски»</t>
  </si>
  <si>
    <t>72\23</t>
  </si>
  <si>
    <t>Квадрат «Гладкий»</t>
  </si>
  <si>
    <t>60,0х15,0х6,0</t>
  </si>
  <si>
    <t>25,0х12,5х5,5</t>
  </si>
  <si>
    <t>Объем всего</t>
  </si>
  <si>
    <t>Квадратные метры</t>
  </si>
  <si>
    <t>Вес всего</t>
  </si>
  <si>
    <t>Калькулятор пластиковых форм Alpha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</si>
</sst>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24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Border="1"/>
    <xf numFmtId="0" fontId="7" fillId="3" borderId="0" xfId="0" applyFont="1" applyFill="1" applyBorder="1"/>
    <xf numFmtId="0" fontId="8" fillId="3" borderId="0" xfId="0" applyFont="1" applyFill="1" applyBorder="1"/>
    <xf numFmtId="0" fontId="6" fillId="3" borderId="0" xfId="0" applyFont="1" applyFill="1" applyBorder="1"/>
    <xf numFmtId="0" fontId="9" fillId="3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4" borderId="0" xfId="1" applyFont="1" applyFill="1" applyBorder="1" applyAlignment="1">
      <alignment horizontal="center" vertical="top" wrapText="1"/>
    </xf>
    <xf numFmtId="2" fontId="4" fillId="4" borderId="0" xfId="1" applyNumberFormat="1" applyFont="1" applyFill="1" applyBorder="1" applyAlignment="1">
      <alignment horizontal="center" vertical="top" wrapText="1"/>
    </xf>
    <xf numFmtId="0" fontId="0" fillId="4" borderId="0" xfId="0" applyFill="1" applyBorder="1"/>
    <xf numFmtId="164" fontId="0" fillId="4" borderId="0" xfId="0" applyNumberFormat="1" applyFill="1" applyBorder="1"/>
    <xf numFmtId="0" fontId="6" fillId="2" borderId="0" xfId="0" applyFont="1" applyFill="1" applyBorder="1"/>
    <xf numFmtId="0" fontId="0" fillId="2" borderId="0" xfId="0" applyFill="1" applyBorder="1"/>
    <xf numFmtId="0" fontId="0" fillId="2" borderId="0" xfId="0" applyFill="1"/>
    <xf numFmtId="0" fontId="3" fillId="0" borderId="2" xfId="1" applyFont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164" fontId="3" fillId="0" borderId="2" xfId="1" applyNumberFormat="1" applyFont="1" applyFill="1" applyBorder="1" applyAlignment="1">
      <alignment horizontal="center" vertical="top" wrapText="1"/>
    </xf>
    <xf numFmtId="0" fontId="10" fillId="2" borderId="0" xfId="0" applyFont="1" applyFill="1"/>
    <xf numFmtId="0" fontId="10" fillId="0" borderId="0" xfId="0" applyFont="1"/>
    <xf numFmtId="164" fontId="3" fillId="0" borderId="1" xfId="1" applyNumberFormat="1" applyFont="1" applyFill="1" applyBorder="1" applyAlignment="1">
      <alignment horizontal="center" vertical="top" wrapText="1"/>
    </xf>
    <xf numFmtId="2" fontId="3" fillId="0" borderId="1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9900"/>
      <color rgb="FF7C3B06"/>
      <color rgb="FF800080"/>
      <color rgb="FF2C13C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topLeftCell="A55" workbookViewId="0">
      <selection activeCell="D5" sqref="D5"/>
    </sheetView>
  </sheetViews>
  <sheetFormatPr defaultRowHeight="15"/>
  <cols>
    <col min="1" max="1" width="9" style="5" customWidth="1"/>
    <col min="2" max="2" width="39.28515625" style="5" customWidth="1"/>
    <col min="3" max="3" width="20.42578125" style="1" customWidth="1"/>
    <col min="4" max="4" width="9" style="5" customWidth="1"/>
    <col min="5" max="6" width="10.5703125" style="5" customWidth="1"/>
    <col min="7" max="7" width="16.28515625" style="5" customWidth="1"/>
    <col min="8" max="8" width="5.28515625" style="18" customWidth="1"/>
    <col min="9" max="9" width="10.7109375" customWidth="1"/>
    <col min="10" max="10" width="14.85546875" customWidth="1"/>
    <col min="11" max="11" width="14.7109375" customWidth="1"/>
  </cols>
  <sheetData>
    <row r="1" spans="1:11" ht="31.5">
      <c r="A1" s="6"/>
      <c r="B1" s="7" t="s">
        <v>424</v>
      </c>
      <c r="C1" s="8"/>
      <c r="D1" s="9"/>
      <c r="E1" s="9"/>
      <c r="F1" s="9"/>
      <c r="G1" s="9"/>
      <c r="H1" s="16"/>
      <c r="I1" s="10" t="s">
        <v>421</v>
      </c>
      <c r="J1" s="10" t="s">
        <v>423</v>
      </c>
      <c r="K1" s="10" t="s">
        <v>422</v>
      </c>
    </row>
    <row r="2" spans="1:11" ht="32.25" customHeight="1">
      <c r="A2" s="11"/>
      <c r="B2" s="12" t="s">
        <v>0</v>
      </c>
      <c r="C2" s="12" t="s">
        <v>403</v>
      </c>
      <c r="D2" s="12" t="s">
        <v>404</v>
      </c>
      <c r="E2" s="12" t="s">
        <v>405</v>
      </c>
      <c r="F2" s="12" t="s">
        <v>402</v>
      </c>
      <c r="G2" s="13" t="s">
        <v>406</v>
      </c>
      <c r="H2" s="17"/>
      <c r="I2" s="15">
        <f>SUM(F3:F194)</f>
        <v>0</v>
      </c>
      <c r="J2" s="14">
        <f>SUM(E3:E194)</f>
        <v>0</v>
      </c>
      <c r="K2" s="15">
        <f>SUM(G3:G194)</f>
        <v>0</v>
      </c>
    </row>
    <row r="3" spans="1:11" s="24" customFormat="1">
      <c r="A3" s="19" t="s">
        <v>1</v>
      </c>
      <c r="B3" s="19" t="s">
        <v>2</v>
      </c>
      <c r="C3" s="19" t="s">
        <v>407</v>
      </c>
      <c r="D3" s="20">
        <v>0</v>
      </c>
      <c r="E3" s="20">
        <f>D3*0.22</f>
        <v>0</v>
      </c>
      <c r="F3" s="21">
        <f>D3/300</f>
        <v>0</v>
      </c>
      <c r="G3" s="22">
        <f>D3/27</f>
        <v>0</v>
      </c>
      <c r="H3" s="23"/>
    </row>
    <row r="4" spans="1:11" s="24" customFormat="1">
      <c r="A4" s="2" t="s">
        <v>1</v>
      </c>
      <c r="B4" s="2" t="s">
        <v>2</v>
      </c>
      <c r="C4" s="2" t="s">
        <v>3</v>
      </c>
      <c r="D4" s="3">
        <v>0</v>
      </c>
      <c r="E4" s="3">
        <f>D4*0.175</f>
        <v>0</v>
      </c>
      <c r="F4" s="4">
        <f>D4/440</f>
        <v>0</v>
      </c>
      <c r="G4" s="25">
        <f>D4/27</f>
        <v>0</v>
      </c>
      <c r="H4" s="23"/>
    </row>
    <row r="5" spans="1:11" s="24" customFormat="1">
      <c r="A5" s="2" t="s">
        <v>1</v>
      </c>
      <c r="B5" s="2" t="s">
        <v>2</v>
      </c>
      <c r="C5" s="2" t="s">
        <v>408</v>
      </c>
      <c r="D5" s="3">
        <v>0</v>
      </c>
      <c r="E5" s="3">
        <f>D5*0.13</f>
        <v>0</v>
      </c>
      <c r="F5" s="4">
        <f>D5/1100</f>
        <v>0</v>
      </c>
      <c r="G5" s="26">
        <f>D5/27</f>
        <v>0</v>
      </c>
      <c r="H5" s="23"/>
    </row>
    <row r="6" spans="1:11" s="24" customFormat="1">
      <c r="A6" s="2" t="s">
        <v>4</v>
      </c>
      <c r="B6" s="2" t="s">
        <v>5</v>
      </c>
      <c r="C6" s="2" t="s">
        <v>407</v>
      </c>
      <c r="D6" s="3">
        <v>0</v>
      </c>
      <c r="E6" s="3">
        <f>D6*0.215</f>
        <v>0</v>
      </c>
      <c r="F6" s="4">
        <f>D6/300</f>
        <v>0</v>
      </c>
      <c r="G6" s="26">
        <f>D6/27</f>
        <v>0</v>
      </c>
      <c r="H6" s="23"/>
    </row>
    <row r="7" spans="1:11" s="24" customFormat="1">
      <c r="A7" s="2" t="s">
        <v>4</v>
      </c>
      <c r="B7" s="2" t="s">
        <v>5</v>
      </c>
      <c r="C7" s="2" t="s">
        <v>3</v>
      </c>
      <c r="D7" s="3">
        <v>0</v>
      </c>
      <c r="E7" s="3">
        <f>D7*0.175</f>
        <v>0</v>
      </c>
      <c r="F7" s="4">
        <f>D7/440</f>
        <v>0</v>
      </c>
      <c r="G7" s="26">
        <f>D7/27</f>
        <v>0</v>
      </c>
      <c r="H7" s="23"/>
    </row>
    <row r="8" spans="1:11" s="24" customFormat="1">
      <c r="A8" s="2" t="s">
        <v>6</v>
      </c>
      <c r="B8" s="2" t="s">
        <v>7</v>
      </c>
      <c r="C8" s="2" t="s">
        <v>8</v>
      </c>
      <c r="D8" s="3">
        <v>0</v>
      </c>
      <c r="E8" s="3">
        <f>D8*0.245</f>
        <v>0</v>
      </c>
      <c r="F8" s="4">
        <f>D8/266</f>
        <v>0</v>
      </c>
      <c r="G8" s="26">
        <f t="shared" ref="G8:G15" si="0">D8/11</f>
        <v>0</v>
      </c>
      <c r="H8" s="23"/>
    </row>
    <row r="9" spans="1:11" s="24" customFormat="1">
      <c r="A9" s="2" t="s">
        <v>6</v>
      </c>
      <c r="B9" s="2" t="s">
        <v>9</v>
      </c>
      <c r="C9" s="2" t="s">
        <v>10</v>
      </c>
      <c r="D9" s="3">
        <v>0</v>
      </c>
      <c r="E9" s="3">
        <f>D9*0.145</f>
        <v>0</v>
      </c>
      <c r="F9" s="4">
        <f>D9/320</f>
        <v>0</v>
      </c>
      <c r="G9" s="26">
        <f t="shared" si="0"/>
        <v>0</v>
      </c>
      <c r="H9" s="23"/>
    </row>
    <row r="10" spans="1:11" s="24" customFormat="1">
      <c r="A10" s="2" t="s">
        <v>6</v>
      </c>
      <c r="B10" s="2" t="s">
        <v>11</v>
      </c>
      <c r="C10" s="2" t="s">
        <v>8</v>
      </c>
      <c r="D10" s="3">
        <v>0</v>
      </c>
      <c r="E10" s="3">
        <f>D10*0.245</f>
        <v>0</v>
      </c>
      <c r="F10" s="4">
        <f>D10/266</f>
        <v>0</v>
      </c>
      <c r="G10" s="26">
        <f t="shared" si="0"/>
        <v>0</v>
      </c>
      <c r="H10" s="23"/>
    </row>
    <row r="11" spans="1:11" s="24" customFormat="1">
      <c r="A11" s="2" t="s">
        <v>6</v>
      </c>
      <c r="B11" s="2" t="s">
        <v>12</v>
      </c>
      <c r="C11" s="2" t="s">
        <v>10</v>
      </c>
      <c r="D11" s="3">
        <v>0</v>
      </c>
      <c r="E11" s="3">
        <f>D11*0.145</f>
        <v>0</v>
      </c>
      <c r="F11" s="4">
        <f>D11/320</f>
        <v>0</v>
      </c>
      <c r="G11" s="26">
        <f t="shared" si="0"/>
        <v>0</v>
      </c>
      <c r="H11" s="23"/>
    </row>
    <row r="12" spans="1:11" s="24" customFormat="1">
      <c r="A12" s="2" t="s">
        <v>6</v>
      </c>
      <c r="B12" s="2" t="s">
        <v>7</v>
      </c>
      <c r="C12" s="2" t="s">
        <v>13</v>
      </c>
      <c r="D12" s="3">
        <v>0</v>
      </c>
      <c r="E12" s="3">
        <f>D12*0.225</f>
        <v>0</v>
      </c>
      <c r="F12" s="4">
        <f>D12/720</f>
        <v>0</v>
      </c>
      <c r="G12" s="26">
        <f t="shared" si="0"/>
        <v>0</v>
      </c>
      <c r="H12" s="23"/>
    </row>
    <row r="13" spans="1:11" s="24" customFormat="1">
      <c r="A13" s="2" t="s">
        <v>6</v>
      </c>
      <c r="B13" s="2" t="s">
        <v>9</v>
      </c>
      <c r="C13" s="2" t="s">
        <v>14</v>
      </c>
      <c r="D13" s="3">
        <v>0</v>
      </c>
      <c r="E13" s="3">
        <f>D13*0.12</f>
        <v>0</v>
      </c>
      <c r="F13" s="4">
        <f>D13/864</f>
        <v>0</v>
      </c>
      <c r="G13" s="26">
        <f t="shared" si="0"/>
        <v>0</v>
      </c>
      <c r="H13" s="23"/>
    </row>
    <row r="14" spans="1:11" s="24" customFormat="1">
      <c r="A14" s="2" t="s">
        <v>6</v>
      </c>
      <c r="B14" s="2" t="s">
        <v>11</v>
      </c>
      <c r="C14" s="2" t="s">
        <v>13</v>
      </c>
      <c r="D14" s="3">
        <v>0</v>
      </c>
      <c r="E14" s="3">
        <f>D14*0.225</f>
        <v>0</v>
      </c>
      <c r="F14" s="4">
        <f>D14/720</f>
        <v>0</v>
      </c>
      <c r="G14" s="26">
        <f t="shared" si="0"/>
        <v>0</v>
      </c>
      <c r="H14" s="23"/>
    </row>
    <row r="15" spans="1:11" s="24" customFormat="1">
      <c r="A15" s="2" t="s">
        <v>6</v>
      </c>
      <c r="B15" s="2" t="s">
        <v>12</v>
      </c>
      <c r="C15" s="2" t="s">
        <v>14</v>
      </c>
      <c r="D15" s="3">
        <v>0</v>
      </c>
      <c r="E15" s="3">
        <f>D15*0.12</f>
        <v>0</v>
      </c>
      <c r="F15" s="4">
        <f>D15/864</f>
        <v>0</v>
      </c>
      <c r="G15" s="26">
        <f t="shared" si="0"/>
        <v>0</v>
      </c>
      <c r="H15" s="23"/>
    </row>
    <row r="16" spans="1:11" s="24" customFormat="1">
      <c r="A16" s="2" t="s">
        <v>15</v>
      </c>
      <c r="B16" s="2" t="s">
        <v>16</v>
      </c>
      <c r="C16" s="2" t="s">
        <v>3</v>
      </c>
      <c r="D16" s="3">
        <v>0</v>
      </c>
      <c r="E16" s="3">
        <f>D16*0.165</f>
        <v>0</v>
      </c>
      <c r="F16" s="4">
        <f>D16/440</f>
        <v>0</v>
      </c>
      <c r="G16" s="26">
        <f>D16/27</f>
        <v>0</v>
      </c>
      <c r="H16" s="23"/>
    </row>
    <row r="17" spans="1:8" s="24" customFormat="1">
      <c r="A17" s="2" t="s">
        <v>15</v>
      </c>
      <c r="B17" s="2" t="s">
        <v>16</v>
      </c>
      <c r="C17" s="2" t="s">
        <v>408</v>
      </c>
      <c r="D17" s="3">
        <v>0</v>
      </c>
      <c r="E17" s="3">
        <f>D17*0.13</f>
        <v>0</v>
      </c>
      <c r="F17" s="4">
        <f>D17/1100</f>
        <v>0</v>
      </c>
      <c r="G17" s="26">
        <f>D17/27</f>
        <v>0</v>
      </c>
      <c r="H17" s="23"/>
    </row>
    <row r="18" spans="1:8" s="24" customFormat="1">
      <c r="A18" s="2" t="s">
        <v>17</v>
      </c>
      <c r="B18" s="2" t="s">
        <v>18</v>
      </c>
      <c r="C18" s="2" t="s">
        <v>19</v>
      </c>
      <c r="D18" s="3">
        <v>0</v>
      </c>
      <c r="E18" s="3">
        <f>D18*0.18</f>
        <v>0</v>
      </c>
      <c r="F18" s="4">
        <f>D18/500</f>
        <v>0</v>
      </c>
      <c r="G18" s="26">
        <f>D18/18</f>
        <v>0</v>
      </c>
      <c r="H18" s="23"/>
    </row>
    <row r="19" spans="1:8" s="24" customFormat="1">
      <c r="A19" s="2" t="s">
        <v>20</v>
      </c>
      <c r="B19" s="2" t="s">
        <v>21</v>
      </c>
      <c r="C19" s="2" t="s">
        <v>19</v>
      </c>
      <c r="D19" s="3">
        <v>0</v>
      </c>
      <c r="E19" s="3">
        <f>D19*0.175</f>
        <v>0</v>
      </c>
      <c r="F19" s="4">
        <f>D19/500</f>
        <v>0</v>
      </c>
      <c r="G19" s="26">
        <f>D19/18</f>
        <v>0</v>
      </c>
      <c r="H19" s="23"/>
    </row>
    <row r="20" spans="1:8" s="24" customFormat="1">
      <c r="A20" s="2" t="s">
        <v>22</v>
      </c>
      <c r="B20" s="2" t="s">
        <v>23</v>
      </c>
      <c r="C20" s="2" t="s">
        <v>24</v>
      </c>
      <c r="D20" s="3">
        <v>0</v>
      </c>
      <c r="E20" s="3">
        <f>D20*0.185</f>
        <v>0</v>
      </c>
      <c r="F20" s="4">
        <f>D20/330</f>
        <v>0</v>
      </c>
      <c r="G20" s="26">
        <f>D20/24</f>
        <v>0</v>
      </c>
      <c r="H20" s="23"/>
    </row>
    <row r="21" spans="1:8" s="24" customFormat="1">
      <c r="A21" s="2" t="s">
        <v>25</v>
      </c>
      <c r="B21" s="2" t="s">
        <v>26</v>
      </c>
      <c r="C21" s="2" t="s">
        <v>27</v>
      </c>
      <c r="D21" s="3">
        <v>0</v>
      </c>
      <c r="E21" s="3">
        <f>D21*0.17</f>
        <v>0</v>
      </c>
      <c r="F21" s="4">
        <f>D21/400</f>
        <v>0</v>
      </c>
      <c r="G21" s="26">
        <f>D21/24</f>
        <v>0</v>
      </c>
      <c r="H21" s="23"/>
    </row>
    <row r="22" spans="1:8" s="24" customFormat="1">
      <c r="A22" s="2" t="s">
        <v>28</v>
      </c>
      <c r="B22" s="2" t="s">
        <v>29</v>
      </c>
      <c r="C22" s="2" t="s">
        <v>30</v>
      </c>
      <c r="D22" s="3">
        <v>0</v>
      </c>
      <c r="E22" s="3">
        <f>D22*0.225</f>
        <v>0</v>
      </c>
      <c r="F22" s="4">
        <f>D22/363</f>
        <v>0</v>
      </c>
      <c r="G22" s="26">
        <f>D22/24</f>
        <v>0</v>
      </c>
      <c r="H22" s="23"/>
    </row>
    <row r="23" spans="1:8" s="24" customFormat="1">
      <c r="A23" s="2" t="s">
        <v>31</v>
      </c>
      <c r="B23" s="2" t="s">
        <v>32</v>
      </c>
      <c r="C23" s="2" t="s">
        <v>409</v>
      </c>
      <c r="D23" s="3">
        <v>0</v>
      </c>
      <c r="E23" s="3">
        <f>D23*0.25</f>
        <v>0</v>
      </c>
      <c r="F23" s="4">
        <f>D23/305</f>
        <v>0</v>
      </c>
      <c r="G23" s="26">
        <f>D23/40</f>
        <v>0</v>
      </c>
      <c r="H23" s="23"/>
    </row>
    <row r="24" spans="1:8" s="24" customFormat="1">
      <c r="A24" s="2" t="s">
        <v>31</v>
      </c>
      <c r="B24" s="2" t="s">
        <v>32</v>
      </c>
      <c r="C24" s="2" t="s">
        <v>33</v>
      </c>
      <c r="D24" s="3">
        <v>0</v>
      </c>
      <c r="E24" s="3">
        <f>D24*0.2</f>
        <v>0</v>
      </c>
      <c r="F24" s="4">
        <f>D24/393</f>
        <v>0</v>
      </c>
      <c r="G24" s="26">
        <f t="shared" ref="G24:G29" si="1">D24/40</f>
        <v>0</v>
      </c>
      <c r="H24" s="23"/>
    </row>
    <row r="25" spans="1:8" s="24" customFormat="1">
      <c r="A25" s="2" t="s">
        <v>34</v>
      </c>
      <c r="B25" s="2" t="s">
        <v>35</v>
      </c>
      <c r="C25" s="2" t="s">
        <v>410</v>
      </c>
      <c r="D25" s="3">
        <v>0</v>
      </c>
      <c r="E25" s="3">
        <f>D25*0.24</f>
        <v>0</v>
      </c>
      <c r="F25" s="4">
        <f>D25/336</f>
        <v>0</v>
      </c>
      <c r="G25" s="26">
        <f t="shared" si="1"/>
        <v>0</v>
      </c>
      <c r="H25" s="23"/>
    </row>
    <row r="26" spans="1:8" s="24" customFormat="1">
      <c r="A26" s="2" t="s">
        <v>34</v>
      </c>
      <c r="B26" s="2" t="s">
        <v>35</v>
      </c>
      <c r="C26" s="2" t="s">
        <v>39</v>
      </c>
      <c r="D26" s="3">
        <v>0</v>
      </c>
      <c r="E26" s="3">
        <f>D26*0.17</f>
        <v>0</v>
      </c>
      <c r="F26" s="4">
        <f>D26/544</f>
        <v>0</v>
      </c>
      <c r="G26" s="26">
        <f t="shared" si="1"/>
        <v>0</v>
      </c>
      <c r="H26" s="23"/>
    </row>
    <row r="27" spans="1:8" s="24" customFormat="1">
      <c r="A27" s="2" t="s">
        <v>34</v>
      </c>
      <c r="B27" s="2" t="s">
        <v>35</v>
      </c>
      <c r="C27" s="2" t="s">
        <v>36</v>
      </c>
      <c r="D27" s="3">
        <v>0</v>
      </c>
      <c r="E27" s="3">
        <f>D27*0.15</f>
        <v>0</v>
      </c>
      <c r="F27" s="4">
        <f>D27/704</f>
        <v>0</v>
      </c>
      <c r="G27" s="26">
        <f t="shared" si="1"/>
        <v>0</v>
      </c>
      <c r="H27" s="23"/>
    </row>
    <row r="28" spans="1:8" s="24" customFormat="1">
      <c r="A28" s="2" t="s">
        <v>37</v>
      </c>
      <c r="B28" s="2" t="s">
        <v>38</v>
      </c>
      <c r="C28" s="2" t="s">
        <v>39</v>
      </c>
      <c r="D28" s="3">
        <v>0</v>
      </c>
      <c r="E28" s="3">
        <f>D28*0.175</f>
        <v>0</v>
      </c>
      <c r="F28" s="4">
        <f>D28/544</f>
        <v>0</v>
      </c>
      <c r="G28" s="26">
        <f t="shared" si="1"/>
        <v>0</v>
      </c>
      <c r="H28" s="23"/>
    </row>
    <row r="29" spans="1:8" s="24" customFormat="1">
      <c r="A29" s="2" t="s">
        <v>40</v>
      </c>
      <c r="B29" s="2" t="s">
        <v>41</v>
      </c>
      <c r="C29" s="2" t="s">
        <v>39</v>
      </c>
      <c r="D29" s="3">
        <v>0</v>
      </c>
      <c r="E29" s="3">
        <f>D29*0.185</f>
        <v>0</v>
      </c>
      <c r="F29" s="4">
        <f>D29/544</f>
        <v>0</v>
      </c>
      <c r="G29" s="26">
        <f t="shared" si="1"/>
        <v>0</v>
      </c>
      <c r="H29" s="23"/>
    </row>
    <row r="30" spans="1:8" s="24" customFormat="1">
      <c r="A30" s="2" t="s">
        <v>42</v>
      </c>
      <c r="B30" s="2" t="s">
        <v>43</v>
      </c>
      <c r="C30" s="2" t="s">
        <v>24</v>
      </c>
      <c r="D30" s="3">
        <v>0</v>
      </c>
      <c r="E30" s="3">
        <f>D30*0.185</f>
        <v>0</v>
      </c>
      <c r="F30" s="4">
        <f>D30/360</f>
        <v>0</v>
      </c>
      <c r="G30" s="26">
        <f>D30/33</f>
        <v>0</v>
      </c>
      <c r="H30" s="23"/>
    </row>
    <row r="31" spans="1:8" s="24" customFormat="1">
      <c r="A31" s="2" t="s">
        <v>44</v>
      </c>
      <c r="B31" s="2" t="s">
        <v>43</v>
      </c>
      <c r="C31" s="2" t="s">
        <v>45</v>
      </c>
      <c r="D31" s="3">
        <v>0</v>
      </c>
      <c r="E31" s="3">
        <f>D31*0.21</f>
        <v>0</v>
      </c>
      <c r="F31" s="4">
        <f>D31/285</f>
        <v>0</v>
      </c>
      <c r="G31" s="26">
        <f t="shared" ref="G31:G32" si="2">D31/33</f>
        <v>0</v>
      </c>
      <c r="H31" s="23"/>
    </row>
    <row r="32" spans="1:8" s="24" customFormat="1">
      <c r="A32" s="2" t="s">
        <v>46</v>
      </c>
      <c r="B32" s="2" t="s">
        <v>43</v>
      </c>
      <c r="C32" s="2" t="s">
        <v>47</v>
      </c>
      <c r="D32" s="3">
        <v>0</v>
      </c>
      <c r="E32" s="3">
        <f>D32*0.185</f>
        <v>0</v>
      </c>
      <c r="F32" s="4">
        <f>D32/408</f>
        <v>0</v>
      </c>
      <c r="G32" s="26">
        <f t="shared" si="2"/>
        <v>0</v>
      </c>
      <c r="H32" s="23"/>
    </row>
    <row r="33" spans="1:8" s="24" customFormat="1">
      <c r="A33" s="2" t="s">
        <v>48</v>
      </c>
      <c r="B33" s="2" t="s">
        <v>49</v>
      </c>
      <c r="C33" s="2" t="s">
        <v>50</v>
      </c>
      <c r="D33" s="3">
        <v>0</v>
      </c>
      <c r="E33" s="3">
        <f>D33*0.145</f>
        <v>0</v>
      </c>
      <c r="F33" s="4">
        <f>D33/525</f>
        <v>0</v>
      </c>
      <c r="G33" s="26">
        <f>D33/46</f>
        <v>0</v>
      </c>
      <c r="H33" s="23"/>
    </row>
    <row r="34" spans="1:8" s="24" customFormat="1">
      <c r="A34" s="27" t="s">
        <v>51</v>
      </c>
      <c r="B34" s="27" t="s">
        <v>52</v>
      </c>
      <c r="C34" s="27" t="s">
        <v>53</v>
      </c>
      <c r="D34" s="3">
        <v>0</v>
      </c>
      <c r="E34" s="27">
        <f>D34*0.175</f>
        <v>0</v>
      </c>
      <c r="F34" s="28">
        <f>D34/525</f>
        <v>0</v>
      </c>
      <c r="G34" s="29">
        <f>D34/46</f>
        <v>0</v>
      </c>
      <c r="H34" s="23"/>
    </row>
    <row r="35" spans="1:8" s="24" customFormat="1">
      <c r="A35" s="2" t="s">
        <v>54</v>
      </c>
      <c r="B35" s="2" t="s">
        <v>55</v>
      </c>
      <c r="C35" s="2" t="s">
        <v>420</v>
      </c>
      <c r="D35" s="3">
        <v>0</v>
      </c>
      <c r="E35" s="3">
        <f>D35*0.24</f>
        <v>0</v>
      </c>
      <c r="F35" s="4">
        <f>D35/380</f>
        <v>0</v>
      </c>
      <c r="G35" s="26">
        <f>D35/32</f>
        <v>0</v>
      </c>
      <c r="H35" s="23"/>
    </row>
    <row r="36" spans="1:8" s="24" customFormat="1">
      <c r="A36" s="2" t="s">
        <v>57</v>
      </c>
      <c r="B36" s="2" t="s">
        <v>58</v>
      </c>
      <c r="C36" s="2" t="s">
        <v>56</v>
      </c>
      <c r="D36" s="3">
        <v>0</v>
      </c>
      <c r="E36" s="3">
        <f>D36*0.24</f>
        <v>0</v>
      </c>
      <c r="F36" s="4">
        <f>D36/380</f>
        <v>0</v>
      </c>
      <c r="G36" s="26">
        <f>D36/33.3</f>
        <v>0</v>
      </c>
      <c r="H36" s="23"/>
    </row>
    <row r="37" spans="1:8" s="24" customFormat="1">
      <c r="A37" s="2" t="s">
        <v>59</v>
      </c>
      <c r="B37" s="2" t="s">
        <v>60</v>
      </c>
      <c r="C37" s="2" t="s">
        <v>61</v>
      </c>
      <c r="D37" s="3">
        <v>0</v>
      </c>
      <c r="E37" s="3">
        <f>D37*0.315</f>
        <v>0</v>
      </c>
      <c r="F37" s="4">
        <f>D37/330</f>
        <v>0</v>
      </c>
      <c r="G37" s="26">
        <f>D37/18.3</f>
        <v>0</v>
      </c>
      <c r="H37" s="23"/>
    </row>
    <row r="38" spans="1:8" s="24" customFormat="1">
      <c r="A38" s="2" t="s">
        <v>62</v>
      </c>
      <c r="B38" s="2" t="s">
        <v>63</v>
      </c>
      <c r="C38" s="2" t="s">
        <v>64</v>
      </c>
      <c r="D38" s="3">
        <v>0</v>
      </c>
      <c r="E38" s="3">
        <f>D38*0.25</f>
        <v>0</v>
      </c>
      <c r="F38" s="4">
        <f>D38/396</f>
        <v>0</v>
      </c>
      <c r="G38" s="26">
        <f>D38/23.8</f>
        <v>0</v>
      </c>
      <c r="H38" s="23"/>
    </row>
    <row r="39" spans="1:8" s="24" customFormat="1">
      <c r="A39" s="2" t="s">
        <v>65</v>
      </c>
      <c r="B39" s="2" t="s">
        <v>66</v>
      </c>
      <c r="C39" s="2" t="s">
        <v>67</v>
      </c>
      <c r="D39" s="3">
        <v>0</v>
      </c>
      <c r="E39" s="3">
        <f>D39*0.435</f>
        <v>0</v>
      </c>
      <c r="F39" s="4">
        <f>D39/256</f>
        <v>0</v>
      </c>
      <c r="G39" s="26">
        <f>D39/18.3</f>
        <v>0</v>
      </c>
      <c r="H39" s="23"/>
    </row>
    <row r="40" spans="1:8" s="24" customFormat="1">
      <c r="A40" s="2" t="s">
        <v>68</v>
      </c>
      <c r="B40" s="2" t="s">
        <v>69</v>
      </c>
      <c r="C40" s="2" t="s">
        <v>70</v>
      </c>
      <c r="D40" s="3">
        <v>0</v>
      </c>
      <c r="E40" s="3">
        <f>D40*0.58</f>
        <v>0</v>
      </c>
      <c r="F40" s="4">
        <f>D40/218</f>
        <v>0</v>
      </c>
      <c r="G40" s="26">
        <f>D40/16.6</f>
        <v>0</v>
      </c>
      <c r="H40" s="23"/>
    </row>
    <row r="41" spans="1:8" s="24" customFormat="1">
      <c r="A41" s="2" t="s">
        <v>71</v>
      </c>
      <c r="B41" s="2" t="s">
        <v>72</v>
      </c>
      <c r="C41" s="2" t="s">
        <v>73</v>
      </c>
      <c r="D41" s="3">
        <v>0</v>
      </c>
      <c r="E41" s="3">
        <f>D41*0.17</f>
        <v>0</v>
      </c>
      <c r="F41" s="4">
        <f>D41/408</f>
        <v>0</v>
      </c>
      <c r="G41" s="26">
        <f>D41/40</f>
        <v>0</v>
      </c>
      <c r="H41" s="23"/>
    </row>
    <row r="42" spans="1:8" s="24" customFormat="1">
      <c r="A42" s="2" t="s">
        <v>74</v>
      </c>
      <c r="B42" s="2" t="s">
        <v>75</v>
      </c>
      <c r="C42" s="2" t="s">
        <v>76</v>
      </c>
      <c r="D42" s="3">
        <v>0</v>
      </c>
      <c r="E42" s="3">
        <f>D42*0.205</f>
        <v>0</v>
      </c>
      <c r="F42" s="4">
        <f>D42/408</f>
        <v>0</v>
      </c>
      <c r="G42" s="26">
        <f>D42/45</f>
        <v>0</v>
      </c>
      <c r="H42" s="23"/>
    </row>
    <row r="43" spans="1:8" s="24" customFormat="1">
      <c r="A43" s="2" t="s">
        <v>77</v>
      </c>
      <c r="B43" s="2" t="s">
        <v>75</v>
      </c>
      <c r="C43" s="2" t="s">
        <v>33</v>
      </c>
      <c r="D43" s="3">
        <v>0</v>
      </c>
      <c r="E43" s="3">
        <f>D43*0.16</f>
        <v>0</v>
      </c>
      <c r="F43" s="4">
        <f t="shared" ref="F43" si="3">D43/408</f>
        <v>0</v>
      </c>
      <c r="G43" s="26">
        <f>D43/45</f>
        <v>0</v>
      </c>
      <c r="H43" s="23"/>
    </row>
    <row r="44" spans="1:8" s="24" customFormat="1">
      <c r="A44" s="2" t="s">
        <v>78</v>
      </c>
      <c r="B44" s="2" t="s">
        <v>79</v>
      </c>
      <c r="C44" s="2" t="s">
        <v>411</v>
      </c>
      <c r="D44" s="3">
        <v>0</v>
      </c>
      <c r="E44" s="3">
        <f>D44*0.17</f>
        <v>0</v>
      </c>
      <c r="F44" s="4">
        <f>D44/370</f>
        <v>0</v>
      </c>
      <c r="G44" s="26">
        <f>D44/50</f>
        <v>0</v>
      </c>
      <c r="H44" s="23"/>
    </row>
    <row r="45" spans="1:8" s="24" customFormat="1">
      <c r="A45" s="2" t="s">
        <v>78</v>
      </c>
      <c r="B45" s="2" t="s">
        <v>81</v>
      </c>
      <c r="C45" s="2" t="s">
        <v>411</v>
      </c>
      <c r="D45" s="3">
        <v>0</v>
      </c>
      <c r="E45" s="3">
        <f>D45*0.17</f>
        <v>0</v>
      </c>
      <c r="F45" s="4">
        <f>D45/370</f>
        <v>0</v>
      </c>
      <c r="G45" s="26">
        <f t="shared" ref="G45:G48" si="4">D45/50</f>
        <v>0</v>
      </c>
      <c r="H45" s="23"/>
    </row>
    <row r="46" spans="1:8" s="24" customFormat="1">
      <c r="A46" s="2" t="s">
        <v>78</v>
      </c>
      <c r="B46" s="2" t="s">
        <v>79</v>
      </c>
      <c r="C46" s="2" t="s">
        <v>80</v>
      </c>
      <c r="D46" s="3">
        <v>0</v>
      </c>
      <c r="E46" s="3">
        <f>D46*0.14</f>
        <v>0</v>
      </c>
      <c r="F46" s="4">
        <f>D46/476</f>
        <v>0</v>
      </c>
      <c r="G46" s="26">
        <f t="shared" si="4"/>
        <v>0</v>
      </c>
      <c r="H46" s="23"/>
    </row>
    <row r="47" spans="1:8" s="24" customFormat="1">
      <c r="A47" s="2" t="s">
        <v>78</v>
      </c>
      <c r="B47" s="2" t="s">
        <v>81</v>
      </c>
      <c r="C47" s="2" t="s">
        <v>80</v>
      </c>
      <c r="D47" s="3">
        <v>0</v>
      </c>
      <c r="E47" s="3">
        <f>D47*0.14</f>
        <v>0</v>
      </c>
      <c r="F47" s="4">
        <f t="shared" ref="F47:F48" si="5">D47/476</f>
        <v>0</v>
      </c>
      <c r="G47" s="26">
        <f t="shared" si="4"/>
        <v>0</v>
      </c>
      <c r="H47" s="23"/>
    </row>
    <row r="48" spans="1:8" s="24" customFormat="1">
      <c r="A48" s="2" t="s">
        <v>78</v>
      </c>
      <c r="B48" s="2" t="s">
        <v>82</v>
      </c>
      <c r="C48" s="2" t="s">
        <v>83</v>
      </c>
      <c r="D48" s="3">
        <v>0</v>
      </c>
      <c r="E48" s="3">
        <f>D48*0.15</f>
        <v>0</v>
      </c>
      <c r="F48" s="4">
        <f t="shared" si="5"/>
        <v>0</v>
      </c>
      <c r="G48" s="26">
        <f t="shared" si="4"/>
        <v>0</v>
      </c>
      <c r="H48" s="23"/>
    </row>
    <row r="49" spans="1:8" s="24" customFormat="1">
      <c r="A49" s="2" t="s">
        <v>84</v>
      </c>
      <c r="B49" s="2" t="s">
        <v>85</v>
      </c>
      <c r="C49" s="2" t="s">
        <v>86</v>
      </c>
      <c r="D49" s="3">
        <v>0</v>
      </c>
      <c r="E49" s="3">
        <f>D49*0.17</f>
        <v>0</v>
      </c>
      <c r="F49" s="4">
        <f>D49/330</f>
        <v>0</v>
      </c>
      <c r="G49" s="26">
        <f>D49/31</f>
        <v>0</v>
      </c>
      <c r="H49" s="23"/>
    </row>
    <row r="50" spans="1:8" s="24" customFormat="1">
      <c r="A50" s="2" t="s">
        <v>87</v>
      </c>
      <c r="B50" s="2" t="s">
        <v>88</v>
      </c>
      <c r="C50" s="2" t="s">
        <v>86</v>
      </c>
      <c r="D50" s="3">
        <v>0</v>
      </c>
      <c r="E50" s="3">
        <f>D50*0.17</f>
        <v>0</v>
      </c>
      <c r="F50" s="4">
        <f t="shared" ref="F50:F52" si="6">D50/330</f>
        <v>0</v>
      </c>
      <c r="G50" s="26">
        <f t="shared" ref="G50:G52" si="7">D50/31</f>
        <v>0</v>
      </c>
      <c r="H50" s="23"/>
    </row>
    <row r="51" spans="1:8" s="24" customFormat="1">
      <c r="A51" s="2" t="s">
        <v>87</v>
      </c>
      <c r="B51" s="2" t="s">
        <v>89</v>
      </c>
      <c r="C51" s="2" t="s">
        <v>86</v>
      </c>
      <c r="D51" s="3">
        <v>0</v>
      </c>
      <c r="E51" s="3">
        <f>D51*0.18</f>
        <v>0</v>
      </c>
      <c r="F51" s="4">
        <f t="shared" si="6"/>
        <v>0</v>
      </c>
      <c r="G51" s="26">
        <f t="shared" si="7"/>
        <v>0</v>
      </c>
      <c r="H51" s="23"/>
    </row>
    <row r="52" spans="1:8" s="24" customFormat="1">
      <c r="A52" s="2" t="s">
        <v>87</v>
      </c>
      <c r="B52" s="2" t="s">
        <v>90</v>
      </c>
      <c r="C52" s="2" t="s">
        <v>86</v>
      </c>
      <c r="D52" s="3">
        <v>0</v>
      </c>
      <c r="E52" s="3">
        <f>D52*0.18</f>
        <v>0</v>
      </c>
      <c r="F52" s="4">
        <f t="shared" si="6"/>
        <v>0</v>
      </c>
      <c r="G52" s="26">
        <f t="shared" si="7"/>
        <v>0</v>
      </c>
      <c r="H52" s="23"/>
    </row>
    <row r="53" spans="1:8" s="24" customFormat="1">
      <c r="A53" s="2" t="s">
        <v>91</v>
      </c>
      <c r="B53" s="2" t="s">
        <v>92</v>
      </c>
      <c r="C53" s="2" t="s">
        <v>80</v>
      </c>
      <c r="D53" s="3">
        <v>0</v>
      </c>
      <c r="E53" s="3">
        <f>D53*0.135</f>
        <v>0</v>
      </c>
      <c r="F53" s="4">
        <f>D53/476</f>
        <v>0</v>
      </c>
      <c r="G53" s="26">
        <f>D53/50</f>
        <v>0</v>
      </c>
      <c r="H53" s="23"/>
    </row>
    <row r="54" spans="1:8" s="24" customFormat="1">
      <c r="A54" s="2" t="s">
        <v>93</v>
      </c>
      <c r="B54" s="2" t="s">
        <v>94</v>
      </c>
      <c r="C54" s="2" t="s">
        <v>95</v>
      </c>
      <c r="D54" s="3">
        <v>0</v>
      </c>
      <c r="E54" s="3">
        <f>D54*0.095</f>
        <v>0</v>
      </c>
      <c r="F54" s="4">
        <f>D54/950</f>
        <v>0</v>
      </c>
      <c r="G54" s="26">
        <f>D54/50</f>
        <v>0</v>
      </c>
      <c r="H54" s="23"/>
    </row>
    <row r="55" spans="1:8" s="24" customFormat="1">
      <c r="A55" s="2" t="s">
        <v>96</v>
      </c>
      <c r="B55" s="2" t="s">
        <v>97</v>
      </c>
      <c r="C55" s="2" t="s">
        <v>45</v>
      </c>
      <c r="D55" s="3">
        <v>0</v>
      </c>
      <c r="E55" s="3">
        <f>D55*0.2</f>
        <v>0</v>
      </c>
      <c r="F55" s="4">
        <f>D55/409</f>
        <v>0</v>
      </c>
      <c r="G55" s="26">
        <f>D55/22</f>
        <v>0</v>
      </c>
      <c r="H55" s="23"/>
    </row>
    <row r="56" spans="1:8" s="24" customFormat="1">
      <c r="A56" s="2" t="s">
        <v>96</v>
      </c>
      <c r="B56" s="2" t="s">
        <v>97</v>
      </c>
      <c r="C56" s="2" t="s">
        <v>98</v>
      </c>
      <c r="D56" s="3">
        <v>0</v>
      </c>
      <c r="E56" s="3">
        <f>D56*15</f>
        <v>0</v>
      </c>
      <c r="F56" s="4">
        <f>D56/550</f>
        <v>0</v>
      </c>
      <c r="G56" s="26">
        <f t="shared" ref="G56:G57" si="8">D56/22</f>
        <v>0</v>
      </c>
      <c r="H56" s="23"/>
    </row>
    <row r="57" spans="1:8" s="24" customFormat="1">
      <c r="A57" s="2" t="s">
        <v>96</v>
      </c>
      <c r="B57" s="2" t="s">
        <v>99</v>
      </c>
      <c r="C57" s="2" t="s">
        <v>98</v>
      </c>
      <c r="D57" s="3">
        <v>0</v>
      </c>
      <c r="E57" s="3">
        <f>D57*0.16</f>
        <v>0</v>
      </c>
      <c r="F57" s="4">
        <f>D57/550</f>
        <v>0</v>
      </c>
      <c r="G57" s="26">
        <f t="shared" si="8"/>
        <v>0</v>
      </c>
      <c r="H57" s="23"/>
    </row>
    <row r="58" spans="1:8" s="24" customFormat="1">
      <c r="A58" s="2" t="s">
        <v>100</v>
      </c>
      <c r="B58" s="2" t="s">
        <v>101</v>
      </c>
      <c r="C58" s="2" t="s">
        <v>102</v>
      </c>
      <c r="D58" s="3">
        <v>0</v>
      </c>
      <c r="E58" s="3">
        <f t="shared" ref="E58:E59" si="9">D58*0.16</f>
        <v>0</v>
      </c>
      <c r="F58" s="4">
        <f>D58/480</f>
        <v>0</v>
      </c>
      <c r="G58" s="26">
        <f>D58/32</f>
        <v>0</v>
      </c>
      <c r="H58" s="23"/>
    </row>
    <row r="59" spans="1:8" s="24" customFormat="1">
      <c r="A59" s="2" t="s">
        <v>103</v>
      </c>
      <c r="B59" s="2" t="s">
        <v>104</v>
      </c>
      <c r="C59" s="2" t="s">
        <v>102</v>
      </c>
      <c r="D59" s="3">
        <v>0</v>
      </c>
      <c r="E59" s="3">
        <f t="shared" si="9"/>
        <v>0</v>
      </c>
      <c r="F59" s="4">
        <f>D59/480</f>
        <v>0</v>
      </c>
      <c r="G59" s="26">
        <f>D59/32</f>
        <v>0</v>
      </c>
      <c r="H59" s="23"/>
    </row>
    <row r="60" spans="1:8" s="24" customFormat="1">
      <c r="A60" s="2" t="s">
        <v>105</v>
      </c>
      <c r="B60" s="2" t="s">
        <v>106</v>
      </c>
      <c r="C60" s="2" t="s">
        <v>107</v>
      </c>
      <c r="D60" s="3">
        <v>0</v>
      </c>
      <c r="E60" s="3">
        <f>D60*0.23</f>
        <v>0</v>
      </c>
      <c r="F60" s="4">
        <f>D60/256</f>
        <v>0</v>
      </c>
      <c r="G60" s="26">
        <f>D60/25</f>
        <v>0</v>
      </c>
      <c r="H60" s="23"/>
    </row>
    <row r="61" spans="1:8" s="24" customFormat="1">
      <c r="A61" s="2" t="s">
        <v>105</v>
      </c>
      <c r="B61" s="2" t="s">
        <v>106</v>
      </c>
      <c r="C61" s="2" t="s">
        <v>412</v>
      </c>
      <c r="D61" s="3">
        <v>0</v>
      </c>
      <c r="E61" s="3">
        <f>D61*0.2</f>
        <v>0</v>
      </c>
      <c r="F61" s="4">
        <f>D61/384</f>
        <v>0</v>
      </c>
      <c r="G61" s="26">
        <f t="shared" ref="G61:G63" si="10">D61/25</f>
        <v>0</v>
      </c>
      <c r="H61" s="23"/>
    </row>
    <row r="62" spans="1:8" s="24" customFormat="1">
      <c r="A62" s="2" t="s">
        <v>108</v>
      </c>
      <c r="B62" s="2" t="s">
        <v>109</v>
      </c>
      <c r="C62" s="2" t="s">
        <v>107</v>
      </c>
      <c r="D62" s="3">
        <v>0</v>
      </c>
      <c r="E62" s="3">
        <f>D62*0.21</f>
        <v>0</v>
      </c>
      <c r="F62" s="4">
        <f>D62/256</f>
        <v>0</v>
      </c>
      <c r="G62" s="26">
        <f t="shared" si="10"/>
        <v>0</v>
      </c>
      <c r="H62" s="23"/>
    </row>
    <row r="63" spans="1:8" s="24" customFormat="1">
      <c r="A63" s="2" t="s">
        <v>108</v>
      </c>
      <c r="B63" s="2" t="s">
        <v>109</v>
      </c>
      <c r="C63" s="2" t="s">
        <v>412</v>
      </c>
      <c r="D63" s="3">
        <v>0</v>
      </c>
      <c r="E63" s="3">
        <f>D63*0.2</f>
        <v>0</v>
      </c>
      <c r="F63" s="4">
        <f>D63/384</f>
        <v>0</v>
      </c>
      <c r="G63" s="26">
        <f t="shared" si="10"/>
        <v>0</v>
      </c>
      <c r="H63" s="23"/>
    </row>
    <row r="64" spans="1:8" s="24" customFormat="1">
      <c r="A64" s="2" t="s">
        <v>110</v>
      </c>
      <c r="B64" s="2" t="s">
        <v>111</v>
      </c>
      <c r="C64" s="2" t="s">
        <v>112</v>
      </c>
      <c r="D64" s="3">
        <v>0</v>
      </c>
      <c r="E64" s="3">
        <f>D64*0.285</f>
        <v>0</v>
      </c>
      <c r="F64" s="4">
        <f>D64/300</f>
        <v>0</v>
      </c>
      <c r="G64" s="26">
        <f>D64/24</f>
        <v>0</v>
      </c>
      <c r="H64" s="23"/>
    </row>
    <row r="65" spans="1:8" s="24" customFormat="1">
      <c r="A65" s="2" t="s">
        <v>113</v>
      </c>
      <c r="B65" s="2" t="s">
        <v>114</v>
      </c>
      <c r="C65" s="2" t="s">
        <v>115</v>
      </c>
      <c r="D65" s="3">
        <v>0</v>
      </c>
      <c r="E65" s="3">
        <f>D65*0.16</f>
        <v>0</v>
      </c>
      <c r="F65" s="4">
        <f>D65/450</f>
        <v>0</v>
      </c>
      <c r="G65" s="26">
        <f>D65/44</f>
        <v>0</v>
      </c>
      <c r="H65" s="23"/>
    </row>
    <row r="66" spans="1:8" s="24" customFormat="1">
      <c r="A66" s="2" t="s">
        <v>116</v>
      </c>
      <c r="B66" s="2" t="s">
        <v>117</v>
      </c>
      <c r="C66" s="2" t="s">
        <v>118</v>
      </c>
      <c r="D66" s="3">
        <v>0</v>
      </c>
      <c r="E66" s="3">
        <f>D66*0.16</f>
        <v>0</v>
      </c>
      <c r="F66" s="4">
        <f>D66/409</f>
        <v>0</v>
      </c>
      <c r="G66" s="26">
        <f>D66/46</f>
        <v>0</v>
      </c>
      <c r="H66" s="23"/>
    </row>
    <row r="67" spans="1:8" s="24" customFormat="1">
      <c r="A67" s="2" t="s">
        <v>119</v>
      </c>
      <c r="B67" s="2" t="s">
        <v>120</v>
      </c>
      <c r="C67" s="2" t="s">
        <v>121</v>
      </c>
      <c r="D67" s="3">
        <v>0</v>
      </c>
      <c r="E67" s="3">
        <f>D67*0.38</f>
        <v>0</v>
      </c>
      <c r="F67" s="4">
        <f>D67/205</f>
        <v>0</v>
      </c>
      <c r="G67" s="26">
        <f>D67/16</f>
        <v>0</v>
      </c>
      <c r="H67" s="23"/>
    </row>
    <row r="68" spans="1:8" s="24" customFormat="1">
      <c r="A68" s="2" t="s">
        <v>122</v>
      </c>
      <c r="B68" s="2" t="s">
        <v>123</v>
      </c>
      <c r="C68" s="2" t="s">
        <v>124</v>
      </c>
      <c r="D68" s="3">
        <v>0</v>
      </c>
      <c r="E68" s="3">
        <f>D68*1.32</f>
        <v>0</v>
      </c>
      <c r="F68" s="4">
        <f>D68/72</f>
        <v>0</v>
      </c>
      <c r="G68" s="26">
        <f>D68/8</f>
        <v>0</v>
      </c>
      <c r="H68" s="23"/>
    </row>
    <row r="69" spans="1:8" s="24" customFormat="1">
      <c r="A69" s="2" t="s">
        <v>125</v>
      </c>
      <c r="B69" s="2" t="s">
        <v>126</v>
      </c>
      <c r="C69" s="2" t="s">
        <v>127</v>
      </c>
      <c r="D69" s="3">
        <v>0</v>
      </c>
      <c r="E69" s="3">
        <f>D69*2.311</f>
        <v>0</v>
      </c>
      <c r="F69" s="4">
        <f>D69/40</f>
        <v>0</v>
      </c>
      <c r="G69" s="26">
        <f>D69/4.2</f>
        <v>0</v>
      </c>
      <c r="H69" s="23"/>
    </row>
    <row r="70" spans="1:8" s="24" customFormat="1">
      <c r="A70" s="30" t="s">
        <v>128</v>
      </c>
      <c r="B70" s="30" t="s">
        <v>129</v>
      </c>
      <c r="C70" s="30" t="s">
        <v>130</v>
      </c>
      <c r="D70" s="3">
        <v>0</v>
      </c>
      <c r="E70" s="3">
        <f>D70*0.195</f>
        <v>0</v>
      </c>
      <c r="F70" s="4">
        <f>D70/460</f>
        <v>0</v>
      </c>
      <c r="G70" s="26">
        <f>D70/25</f>
        <v>0</v>
      </c>
      <c r="H70" s="23"/>
    </row>
    <row r="71" spans="1:8" s="24" customFormat="1">
      <c r="A71" s="30" t="s">
        <v>131</v>
      </c>
      <c r="B71" s="30" t="s">
        <v>129</v>
      </c>
      <c r="C71" s="30" t="s">
        <v>132</v>
      </c>
      <c r="D71" s="3">
        <v>0</v>
      </c>
      <c r="E71" s="3">
        <f>D71*0.25</f>
        <v>0</v>
      </c>
      <c r="F71" s="4">
        <f>D71/320</f>
        <v>0</v>
      </c>
      <c r="G71" s="26">
        <f t="shared" ref="G71:G72" si="11">D71/25</f>
        <v>0</v>
      </c>
      <c r="H71" s="23"/>
    </row>
    <row r="72" spans="1:8" s="24" customFormat="1">
      <c r="A72" s="30" t="s">
        <v>133</v>
      </c>
      <c r="B72" s="30" t="s">
        <v>129</v>
      </c>
      <c r="C72" s="30" t="s">
        <v>134</v>
      </c>
      <c r="D72" s="3">
        <v>0</v>
      </c>
      <c r="E72" s="3">
        <f>D72*0.26</f>
        <v>0</v>
      </c>
      <c r="F72" s="4">
        <f>D72/320</f>
        <v>0</v>
      </c>
      <c r="G72" s="26">
        <f t="shared" si="11"/>
        <v>0</v>
      </c>
      <c r="H72" s="23"/>
    </row>
    <row r="73" spans="1:8" s="24" customFormat="1">
      <c r="A73" s="30" t="s">
        <v>135</v>
      </c>
      <c r="B73" s="30" t="s">
        <v>129</v>
      </c>
      <c r="C73" s="30" t="s">
        <v>136</v>
      </c>
      <c r="D73" s="3">
        <v>0</v>
      </c>
      <c r="E73" s="3">
        <f>D73*0.265</f>
        <v>0</v>
      </c>
      <c r="F73" s="4">
        <f>D73/280</f>
        <v>0</v>
      </c>
      <c r="G73" s="26">
        <f>D73/15</f>
        <v>0</v>
      </c>
      <c r="H73" s="23"/>
    </row>
    <row r="74" spans="1:8" s="24" customFormat="1">
      <c r="A74" s="30" t="s">
        <v>137</v>
      </c>
      <c r="B74" s="30" t="s">
        <v>129</v>
      </c>
      <c r="C74" s="30" t="s">
        <v>130</v>
      </c>
      <c r="D74" s="3">
        <v>0</v>
      </c>
      <c r="E74" s="3">
        <f>D74*195</f>
        <v>0</v>
      </c>
      <c r="F74" s="4">
        <f>D74/400</f>
        <v>0</v>
      </c>
      <c r="G74" s="26">
        <f>D74/25</f>
        <v>0</v>
      </c>
      <c r="H74" s="23"/>
    </row>
    <row r="75" spans="1:8" s="24" customFormat="1">
      <c r="A75" s="2" t="s">
        <v>138</v>
      </c>
      <c r="B75" s="2" t="s">
        <v>139</v>
      </c>
      <c r="C75" s="2" t="s">
        <v>140</v>
      </c>
      <c r="D75" s="3">
        <v>0</v>
      </c>
      <c r="E75" s="3">
        <f>D75*0.2</f>
        <v>0</v>
      </c>
      <c r="F75" s="4">
        <f>D75/260</f>
        <v>0</v>
      </c>
      <c r="G75" s="26">
        <f>D75/18</f>
        <v>0</v>
      </c>
      <c r="H75" s="23"/>
    </row>
    <row r="76" spans="1:8" s="24" customFormat="1">
      <c r="A76" s="2" t="s">
        <v>141</v>
      </c>
      <c r="B76" s="2" t="s">
        <v>142</v>
      </c>
      <c r="C76" s="2" t="s">
        <v>140</v>
      </c>
      <c r="D76" s="3">
        <v>0</v>
      </c>
      <c r="E76" s="3">
        <f>D76*0.85</f>
        <v>0</v>
      </c>
      <c r="F76" s="4">
        <f>D76/266</f>
        <v>0</v>
      </c>
      <c r="G76" s="26">
        <f>D76/18</f>
        <v>0</v>
      </c>
      <c r="H76" s="23"/>
    </row>
    <row r="77" spans="1:8" s="24" customFormat="1">
      <c r="A77" s="2" t="s">
        <v>143</v>
      </c>
      <c r="B77" s="2" t="s">
        <v>144</v>
      </c>
      <c r="C77" s="2" t="s">
        <v>140</v>
      </c>
      <c r="D77" s="3">
        <v>0</v>
      </c>
      <c r="E77" s="3">
        <f>D77*0.185</f>
        <v>0</v>
      </c>
      <c r="F77" s="4">
        <f>D77/400</f>
        <v>0</v>
      </c>
      <c r="G77" s="26">
        <f>D77/16</f>
        <v>0</v>
      </c>
      <c r="H77" s="23"/>
    </row>
    <row r="78" spans="1:8" s="24" customFormat="1">
      <c r="A78" s="2" t="s">
        <v>145</v>
      </c>
      <c r="B78" s="2" t="s">
        <v>146</v>
      </c>
      <c r="C78" s="2" t="s">
        <v>140</v>
      </c>
      <c r="D78" s="3">
        <v>0</v>
      </c>
      <c r="E78" s="3">
        <f>D78*0.1</f>
        <v>0</v>
      </c>
      <c r="F78" s="4">
        <f>D78/700</f>
        <v>0</v>
      </c>
      <c r="G78" s="26">
        <f>D78/18</f>
        <v>0</v>
      </c>
      <c r="H78" s="23"/>
    </row>
    <row r="79" spans="1:8" s="24" customFormat="1">
      <c r="A79" s="2" t="s">
        <v>147</v>
      </c>
      <c r="B79" s="2" t="s">
        <v>148</v>
      </c>
      <c r="C79" s="2" t="s">
        <v>140</v>
      </c>
      <c r="D79" s="3">
        <v>0</v>
      </c>
      <c r="E79" s="3">
        <f>D79*0.28</f>
        <v>0</v>
      </c>
      <c r="F79" s="4">
        <f>D79/266</f>
        <v>0</v>
      </c>
      <c r="G79" s="26">
        <f>D79/16</f>
        <v>0</v>
      </c>
      <c r="H79" s="23"/>
    </row>
    <row r="80" spans="1:8" s="24" customFormat="1">
      <c r="A80" s="2" t="s">
        <v>149</v>
      </c>
      <c r="B80" s="2" t="s">
        <v>150</v>
      </c>
      <c r="C80" s="2" t="s">
        <v>140</v>
      </c>
      <c r="D80" s="3">
        <v>0</v>
      </c>
      <c r="E80" s="3">
        <f>D80*0.105</f>
        <v>0</v>
      </c>
      <c r="F80" s="4">
        <f>D80/700</f>
        <v>0</v>
      </c>
      <c r="G80" s="26">
        <f>D80/18</f>
        <v>0</v>
      </c>
      <c r="H80" s="23"/>
    </row>
    <row r="81" spans="1:8" s="24" customFormat="1">
      <c r="A81" s="2" t="s">
        <v>151</v>
      </c>
      <c r="B81" s="2" t="s">
        <v>152</v>
      </c>
      <c r="C81" s="2" t="s">
        <v>8</v>
      </c>
      <c r="D81" s="3">
        <v>0</v>
      </c>
      <c r="E81" s="3">
        <f>D855*0.38</f>
        <v>0</v>
      </c>
      <c r="F81" s="4">
        <f>D81/180</f>
        <v>0</v>
      </c>
      <c r="G81" s="26">
        <f>D81/11</f>
        <v>0</v>
      </c>
      <c r="H81" s="23"/>
    </row>
    <row r="82" spans="1:8" s="24" customFormat="1">
      <c r="A82" s="2" t="s">
        <v>153</v>
      </c>
      <c r="B82" s="2" t="s">
        <v>154</v>
      </c>
      <c r="C82" s="2" t="s">
        <v>155</v>
      </c>
      <c r="D82" s="3">
        <v>0</v>
      </c>
      <c r="E82" s="3">
        <f>D82*0.26</f>
        <v>0</v>
      </c>
      <c r="F82" s="4">
        <f>D82/240</f>
        <v>0</v>
      </c>
      <c r="G82" s="26">
        <f>D82/12</f>
        <v>0</v>
      </c>
      <c r="H82" s="23"/>
    </row>
    <row r="83" spans="1:8" s="24" customFormat="1">
      <c r="A83" s="2" t="s">
        <v>156</v>
      </c>
      <c r="B83" s="2" t="s">
        <v>157</v>
      </c>
      <c r="C83" s="2" t="s">
        <v>158</v>
      </c>
      <c r="D83" s="3">
        <v>0</v>
      </c>
      <c r="E83" s="3">
        <f>D83*0.245</f>
        <v>0</v>
      </c>
      <c r="F83" s="4">
        <f>D83/210</f>
        <v>0</v>
      </c>
      <c r="G83" s="26">
        <f>D83/15</f>
        <v>0</v>
      </c>
      <c r="H83" s="23"/>
    </row>
    <row r="84" spans="1:8" s="24" customFormat="1">
      <c r="A84" s="2" t="s">
        <v>159</v>
      </c>
      <c r="B84" s="2" t="s">
        <v>160</v>
      </c>
      <c r="C84" s="2" t="s">
        <v>161</v>
      </c>
      <c r="D84" s="3">
        <v>0</v>
      </c>
      <c r="E84" s="3">
        <f>D84*0.445</f>
        <v>0</v>
      </c>
      <c r="F84" s="4">
        <f>D84/180</f>
        <v>0</v>
      </c>
      <c r="G84" s="26">
        <f>D84/7.6</f>
        <v>0</v>
      </c>
      <c r="H84" s="23"/>
    </row>
    <row r="85" spans="1:8" s="24" customFormat="1">
      <c r="A85" s="2" t="s">
        <v>162</v>
      </c>
      <c r="B85" s="2" t="s">
        <v>163</v>
      </c>
      <c r="C85" s="2" t="s">
        <v>164</v>
      </c>
      <c r="D85" s="3">
        <v>0</v>
      </c>
      <c r="E85" s="3">
        <f>D85*0.175</f>
        <v>0</v>
      </c>
      <c r="F85" s="4">
        <f>D85/360</f>
        <v>0</v>
      </c>
      <c r="G85" s="26">
        <f>D85/18</f>
        <v>0</v>
      </c>
      <c r="H85" s="23"/>
    </row>
    <row r="86" spans="1:8" s="24" customFormat="1">
      <c r="A86" s="2" t="s">
        <v>165</v>
      </c>
      <c r="B86" s="2" t="s">
        <v>166</v>
      </c>
      <c r="C86" s="2" t="s">
        <v>167</v>
      </c>
      <c r="D86" s="3">
        <v>0</v>
      </c>
      <c r="E86" s="3">
        <f>D86*0.61</f>
        <v>0</v>
      </c>
      <c r="F86" s="4">
        <f>D86/112</f>
        <v>0</v>
      </c>
      <c r="G86" s="26">
        <f>D86/6</f>
        <v>0</v>
      </c>
      <c r="H86" s="23"/>
    </row>
    <row r="87" spans="1:8" s="24" customFormat="1">
      <c r="A87" s="2" t="s">
        <v>168</v>
      </c>
      <c r="B87" s="2" t="s">
        <v>169</v>
      </c>
      <c r="C87" s="2" t="s">
        <v>167</v>
      </c>
      <c r="D87" s="3">
        <v>0</v>
      </c>
      <c r="E87" s="3">
        <f>D87*0.61</f>
        <v>0</v>
      </c>
      <c r="F87" s="4">
        <f t="shared" ref="F87" si="12">D87/112</f>
        <v>0</v>
      </c>
      <c r="G87" s="26">
        <f>D87/6</f>
        <v>0</v>
      </c>
      <c r="H87" s="23"/>
    </row>
    <row r="88" spans="1:8" s="24" customFormat="1">
      <c r="A88" s="2" t="s">
        <v>170</v>
      </c>
      <c r="B88" s="2" t="s">
        <v>171</v>
      </c>
      <c r="C88" s="2" t="s">
        <v>172</v>
      </c>
      <c r="D88" s="3">
        <v>0</v>
      </c>
      <c r="E88" s="3">
        <f>D88*0.5</f>
        <v>0</v>
      </c>
      <c r="F88" s="4">
        <f>D88/270</f>
        <v>0</v>
      </c>
      <c r="G88" s="26"/>
      <c r="H88" s="23"/>
    </row>
    <row r="89" spans="1:8" s="24" customFormat="1">
      <c r="A89" s="2" t="s">
        <v>173</v>
      </c>
      <c r="B89" s="2" t="s">
        <v>171</v>
      </c>
      <c r="C89" s="2" t="s">
        <v>174</v>
      </c>
      <c r="D89" s="3">
        <v>0</v>
      </c>
      <c r="E89" s="3">
        <f>D89*0.39</f>
        <v>0</v>
      </c>
      <c r="F89" s="4">
        <f t="shared" ref="F89:F90" si="13">D89/270</f>
        <v>0</v>
      </c>
      <c r="G89" s="26"/>
      <c r="H89" s="23"/>
    </row>
    <row r="90" spans="1:8" s="24" customFormat="1">
      <c r="A90" s="2" t="s">
        <v>175</v>
      </c>
      <c r="B90" s="2" t="s">
        <v>171</v>
      </c>
      <c r="C90" s="2" t="s">
        <v>176</v>
      </c>
      <c r="D90" s="3">
        <v>0</v>
      </c>
      <c r="E90" s="3">
        <f>D90*0.27</f>
        <v>0</v>
      </c>
      <c r="F90" s="4">
        <f t="shared" si="13"/>
        <v>0</v>
      </c>
      <c r="G90" s="26"/>
      <c r="H90" s="23"/>
    </row>
    <row r="91" spans="1:8" s="24" customFormat="1">
      <c r="A91" s="2" t="s">
        <v>177</v>
      </c>
      <c r="B91" s="2" t="s">
        <v>171</v>
      </c>
      <c r="C91" s="2" t="s">
        <v>172</v>
      </c>
      <c r="D91" s="3">
        <v>0</v>
      </c>
      <c r="E91" s="3">
        <f>D91*1.2</f>
        <v>0</v>
      </c>
      <c r="F91" s="4">
        <f>D91/72</f>
        <v>0</v>
      </c>
      <c r="G91" s="26"/>
      <c r="H91" s="23"/>
    </row>
    <row r="92" spans="1:8" s="24" customFormat="1">
      <c r="A92" s="2" t="s">
        <v>178</v>
      </c>
      <c r="B92" s="2" t="s">
        <v>171</v>
      </c>
      <c r="C92" s="2" t="s">
        <v>179</v>
      </c>
      <c r="D92" s="3">
        <v>0</v>
      </c>
      <c r="E92" s="3">
        <f>D92*0.17</f>
        <v>0</v>
      </c>
      <c r="F92" s="4">
        <f>D92/650</f>
        <v>0</v>
      </c>
      <c r="G92" s="26">
        <f>D92/32</f>
        <v>0</v>
      </c>
      <c r="H92" s="23"/>
    </row>
    <row r="93" spans="1:8" s="24" customFormat="1">
      <c r="A93" s="2" t="s">
        <v>180</v>
      </c>
      <c r="B93" s="2" t="s">
        <v>171</v>
      </c>
      <c r="C93" s="2" t="s">
        <v>181</v>
      </c>
      <c r="D93" s="3">
        <v>0</v>
      </c>
      <c r="E93" s="3">
        <f>D93*0.17</f>
        <v>0</v>
      </c>
      <c r="F93" s="4">
        <f>D93/650</f>
        <v>0</v>
      </c>
      <c r="G93" s="26">
        <f>D93/32</f>
        <v>0</v>
      </c>
      <c r="H93" s="23"/>
    </row>
    <row r="94" spans="1:8" s="24" customFormat="1">
      <c r="A94" s="2" t="s">
        <v>182</v>
      </c>
      <c r="B94" s="2" t="s">
        <v>183</v>
      </c>
      <c r="C94" s="2" t="s">
        <v>184</v>
      </c>
      <c r="D94" s="3">
        <v>0</v>
      </c>
      <c r="E94" s="3">
        <f>D94*0.85</f>
        <v>0</v>
      </c>
      <c r="F94" s="4">
        <f>D94/80</f>
        <v>0</v>
      </c>
      <c r="G94" s="26">
        <f>D94/4</f>
        <v>0</v>
      </c>
      <c r="H94" s="23"/>
    </row>
    <row r="95" spans="1:8" s="24" customFormat="1">
      <c r="A95" s="2" t="s">
        <v>185</v>
      </c>
      <c r="B95" s="2" t="s">
        <v>186</v>
      </c>
      <c r="C95" s="2" t="s">
        <v>184</v>
      </c>
      <c r="D95" s="3">
        <v>0</v>
      </c>
      <c r="E95" s="3">
        <f>D95*0.83</f>
        <v>0</v>
      </c>
      <c r="F95" s="4">
        <f t="shared" ref="F95:F96" si="14">D95/80</f>
        <v>0</v>
      </c>
      <c r="G95" s="26">
        <f t="shared" ref="G95:G99" si="15">D95/4</f>
        <v>0</v>
      </c>
      <c r="H95" s="23"/>
    </row>
    <row r="96" spans="1:8" s="24" customFormat="1">
      <c r="A96" s="2" t="s">
        <v>187</v>
      </c>
      <c r="B96" s="2" t="s">
        <v>188</v>
      </c>
      <c r="C96" s="2" t="s">
        <v>184</v>
      </c>
      <c r="D96" s="3">
        <v>0</v>
      </c>
      <c r="E96" s="3">
        <f>D96*0.98</f>
        <v>0</v>
      </c>
      <c r="F96" s="4">
        <f t="shared" si="14"/>
        <v>0</v>
      </c>
      <c r="G96" s="26">
        <f t="shared" si="15"/>
        <v>0</v>
      </c>
      <c r="H96" s="23"/>
    </row>
    <row r="97" spans="1:8" s="24" customFormat="1">
      <c r="A97" s="2" t="s">
        <v>189</v>
      </c>
      <c r="B97" s="2" t="s">
        <v>190</v>
      </c>
      <c r="C97" s="2" t="s">
        <v>184</v>
      </c>
      <c r="D97" s="3">
        <v>0</v>
      </c>
      <c r="E97" s="3">
        <f>D97*0.325</f>
        <v>0</v>
      </c>
      <c r="F97" s="4">
        <f>D97/189</f>
        <v>0</v>
      </c>
      <c r="G97" s="26">
        <f t="shared" si="15"/>
        <v>0</v>
      </c>
      <c r="H97" s="23"/>
    </row>
    <row r="98" spans="1:8" s="24" customFormat="1">
      <c r="A98" s="2" t="s">
        <v>191</v>
      </c>
      <c r="B98" s="2" t="s">
        <v>192</v>
      </c>
      <c r="C98" s="2" t="s">
        <v>184</v>
      </c>
      <c r="D98" s="3">
        <v>0</v>
      </c>
      <c r="E98" s="3">
        <f>D98*1.02</f>
        <v>0</v>
      </c>
      <c r="F98" s="4">
        <f>D98/80</f>
        <v>0</v>
      </c>
      <c r="G98" s="26">
        <f t="shared" si="15"/>
        <v>0</v>
      </c>
      <c r="H98" s="23"/>
    </row>
    <row r="99" spans="1:8" s="24" customFormat="1">
      <c r="A99" s="2" t="s">
        <v>193</v>
      </c>
      <c r="B99" s="2" t="s">
        <v>194</v>
      </c>
      <c r="C99" s="2" t="s">
        <v>184</v>
      </c>
      <c r="D99" s="3">
        <v>0</v>
      </c>
      <c r="E99" s="3">
        <f>D99*325</f>
        <v>0</v>
      </c>
      <c r="F99" s="4">
        <f>D99/189</f>
        <v>0</v>
      </c>
      <c r="G99" s="26">
        <f t="shared" si="15"/>
        <v>0</v>
      </c>
      <c r="H99" s="23"/>
    </row>
    <row r="100" spans="1:8" s="24" customFormat="1">
      <c r="A100" s="2" t="s">
        <v>195</v>
      </c>
      <c r="B100" s="2" t="s">
        <v>196</v>
      </c>
      <c r="C100" s="2" t="s">
        <v>197</v>
      </c>
      <c r="D100" s="3">
        <v>0</v>
      </c>
      <c r="E100" s="3">
        <f>D100*13</f>
        <v>0</v>
      </c>
      <c r="F100" s="4">
        <f>D100/1232</f>
        <v>0</v>
      </c>
      <c r="G100" s="26">
        <f>D100/34</f>
        <v>0</v>
      </c>
      <c r="H100" s="23"/>
    </row>
    <row r="101" spans="1:8" s="24" customFormat="1">
      <c r="A101" s="2" t="s">
        <v>198</v>
      </c>
      <c r="B101" s="2" t="s">
        <v>199</v>
      </c>
      <c r="C101" s="2" t="s">
        <v>200</v>
      </c>
      <c r="D101" s="3">
        <v>0</v>
      </c>
      <c r="E101" s="3">
        <f>D101*0.43</f>
        <v>0</v>
      </c>
      <c r="F101" s="4">
        <f>D101/260</f>
        <v>0</v>
      </c>
      <c r="G101" s="26">
        <f>D101/11.3</f>
        <v>0</v>
      </c>
      <c r="H101" s="23"/>
    </row>
    <row r="102" spans="1:8" s="24" customFormat="1">
      <c r="A102" s="2" t="s">
        <v>201</v>
      </c>
      <c r="B102" s="2" t="s">
        <v>199</v>
      </c>
      <c r="C102" s="2" t="s">
        <v>202</v>
      </c>
      <c r="D102" s="3">
        <v>0</v>
      </c>
      <c r="E102" s="3">
        <f>D102*0.33</f>
        <v>0</v>
      </c>
      <c r="F102" s="4">
        <f>D102/270</f>
        <v>0</v>
      </c>
      <c r="G102" s="26">
        <f>D102/7.4</f>
        <v>0</v>
      </c>
      <c r="H102" s="23"/>
    </row>
    <row r="103" spans="1:8" s="24" customFormat="1">
      <c r="A103" s="2" t="s">
        <v>203</v>
      </c>
      <c r="B103" s="2" t="s">
        <v>199</v>
      </c>
      <c r="C103" s="2" t="s">
        <v>204</v>
      </c>
      <c r="D103" s="3">
        <v>0</v>
      </c>
      <c r="E103" s="3">
        <f>D103*0.184</f>
        <v>0</v>
      </c>
      <c r="F103" s="4">
        <f>D103/600</f>
        <v>0</v>
      </c>
      <c r="G103" s="26">
        <f>D103/19</f>
        <v>0</v>
      </c>
      <c r="H103" s="23"/>
    </row>
    <row r="104" spans="1:8" s="24" customFormat="1">
      <c r="A104" s="2" t="s">
        <v>205</v>
      </c>
      <c r="B104" s="2" t="s">
        <v>199</v>
      </c>
      <c r="C104" s="2" t="s">
        <v>206</v>
      </c>
      <c r="D104" s="3">
        <v>0</v>
      </c>
      <c r="E104" s="3">
        <f>D104*0.09</f>
        <v>0</v>
      </c>
      <c r="F104" s="4">
        <f>D104/2000</f>
        <v>0</v>
      </c>
      <c r="G104" s="26">
        <f>D104/62.3</f>
        <v>0</v>
      </c>
      <c r="H104" s="23"/>
    </row>
    <row r="105" spans="1:8" s="24" customFormat="1">
      <c r="A105" s="2" t="s">
        <v>207</v>
      </c>
      <c r="B105" s="2" t="s">
        <v>199</v>
      </c>
      <c r="C105" s="2" t="s">
        <v>208</v>
      </c>
      <c r="D105" s="3">
        <v>0</v>
      </c>
      <c r="E105" s="3">
        <f>D105*0.14</f>
        <v>0</v>
      </c>
      <c r="F105" s="4">
        <f>D105/735</f>
        <v>0</v>
      </c>
      <c r="G105" s="26">
        <f>D105/30</f>
        <v>0</v>
      </c>
      <c r="H105" s="23"/>
    </row>
    <row r="106" spans="1:8" s="24" customFormat="1">
      <c r="A106" s="2" t="s">
        <v>209</v>
      </c>
      <c r="B106" s="2" t="s">
        <v>199</v>
      </c>
      <c r="C106" s="2" t="s">
        <v>210</v>
      </c>
      <c r="D106" s="3">
        <v>0</v>
      </c>
      <c r="E106" s="3">
        <f>D106*162</f>
        <v>0</v>
      </c>
      <c r="F106" s="4">
        <f>D106/770</f>
        <v>0</v>
      </c>
      <c r="G106" s="26">
        <f>D106/30</f>
        <v>0</v>
      </c>
      <c r="H106" s="23"/>
    </row>
    <row r="107" spans="1:8" s="24" customFormat="1">
      <c r="A107" s="2" t="s">
        <v>211</v>
      </c>
      <c r="B107" s="2" t="s">
        <v>199</v>
      </c>
      <c r="C107" s="2" t="s">
        <v>212</v>
      </c>
      <c r="D107" s="3">
        <v>0</v>
      </c>
      <c r="E107" s="3">
        <f>D107*1.65</f>
        <v>0</v>
      </c>
      <c r="F107" s="4">
        <f>D107/52</f>
        <v>0</v>
      </c>
      <c r="G107" s="26">
        <f>D107/2.66</f>
        <v>0</v>
      </c>
      <c r="H107" s="23"/>
    </row>
    <row r="108" spans="1:8" s="24" customFormat="1">
      <c r="A108" s="2" t="s">
        <v>213</v>
      </c>
      <c r="B108" s="2" t="s">
        <v>199</v>
      </c>
      <c r="C108" s="2" t="s">
        <v>214</v>
      </c>
      <c r="D108" s="3">
        <v>0</v>
      </c>
      <c r="E108" s="3">
        <f>D108*0.55</f>
        <v>0</v>
      </c>
      <c r="F108" s="4">
        <f>D108/170</f>
        <v>0</v>
      </c>
      <c r="G108" s="26">
        <f>D108/11</f>
        <v>0</v>
      </c>
      <c r="H108" s="23"/>
    </row>
    <row r="109" spans="1:8" s="24" customFormat="1">
      <c r="A109" s="2" t="s">
        <v>215</v>
      </c>
      <c r="B109" s="2" t="s">
        <v>199</v>
      </c>
      <c r="C109" s="2" t="s">
        <v>214</v>
      </c>
      <c r="D109" s="3">
        <v>0</v>
      </c>
      <c r="E109" s="3">
        <f>D109*0.5</f>
        <v>0</v>
      </c>
      <c r="F109" s="4">
        <f>D109/170</f>
        <v>0</v>
      </c>
      <c r="G109" s="26">
        <f>D109/11</f>
        <v>0</v>
      </c>
      <c r="H109" s="23"/>
    </row>
    <row r="110" spans="1:8" s="24" customFormat="1">
      <c r="A110" s="2" t="s">
        <v>216</v>
      </c>
      <c r="B110" s="2" t="s">
        <v>199</v>
      </c>
      <c r="C110" s="2" t="s">
        <v>217</v>
      </c>
      <c r="D110" s="3">
        <v>0</v>
      </c>
      <c r="E110" s="3">
        <f>D110*0.315</f>
        <v>0</v>
      </c>
      <c r="F110" s="4">
        <f>D110/430</f>
        <v>0</v>
      </c>
      <c r="G110" s="26">
        <f>D110/20.4</f>
        <v>0</v>
      </c>
      <c r="H110" s="23"/>
    </row>
    <row r="111" spans="1:8" s="24" customFormat="1">
      <c r="A111" s="2" t="s">
        <v>218</v>
      </c>
      <c r="B111" s="2" t="s">
        <v>199</v>
      </c>
      <c r="C111" s="2" t="s">
        <v>219</v>
      </c>
      <c r="D111" s="3">
        <v>0</v>
      </c>
      <c r="E111" s="3">
        <f>D111*0.47</f>
        <v>0</v>
      </c>
      <c r="F111" s="4">
        <f>D111/228</f>
        <v>0</v>
      </c>
      <c r="G111" s="26">
        <f>D111/13.22</f>
        <v>0</v>
      </c>
      <c r="H111" s="23"/>
    </row>
    <row r="112" spans="1:8" s="24" customFormat="1">
      <c r="A112" s="2" t="s">
        <v>220</v>
      </c>
      <c r="B112" s="2" t="s">
        <v>199</v>
      </c>
      <c r="C112" s="2" t="s">
        <v>221</v>
      </c>
      <c r="D112" s="3">
        <v>0</v>
      </c>
      <c r="E112" s="3">
        <f>D112*0.3</f>
        <v>0</v>
      </c>
      <c r="F112" s="4">
        <f>D112/420</f>
        <v>0</v>
      </c>
      <c r="G112" s="26">
        <f>D112/19.7</f>
        <v>0</v>
      </c>
      <c r="H112" s="23"/>
    </row>
    <row r="113" spans="1:8" s="24" customFormat="1">
      <c r="A113" s="2" t="s">
        <v>222</v>
      </c>
      <c r="B113" s="2" t="s">
        <v>199</v>
      </c>
      <c r="C113" s="2" t="s">
        <v>223</v>
      </c>
      <c r="D113" s="3">
        <v>0</v>
      </c>
      <c r="E113" s="3">
        <f>D113*0.58</f>
        <v>0</v>
      </c>
      <c r="F113" s="4">
        <f>D113/225</f>
        <v>0</v>
      </c>
      <c r="G113" s="26">
        <f>D113/9.5</f>
        <v>0</v>
      </c>
      <c r="H113" s="23"/>
    </row>
    <row r="114" spans="1:8" s="24" customFormat="1">
      <c r="A114" s="2" t="s">
        <v>224</v>
      </c>
      <c r="B114" s="2" t="s">
        <v>199</v>
      </c>
      <c r="C114" s="2" t="s">
        <v>225</v>
      </c>
      <c r="D114" s="3">
        <v>0</v>
      </c>
      <c r="E114" s="3">
        <f>D114*0.35</f>
        <v>0</v>
      </c>
      <c r="F114" s="4">
        <f>D114/320</f>
        <v>0</v>
      </c>
      <c r="G114" s="26">
        <f>D114/12.4</f>
        <v>0</v>
      </c>
      <c r="H114" s="23"/>
    </row>
    <row r="115" spans="1:8" s="24" customFormat="1">
      <c r="A115" s="2" t="s">
        <v>226</v>
      </c>
      <c r="B115" s="2" t="s">
        <v>199</v>
      </c>
      <c r="C115" s="2" t="s">
        <v>227</v>
      </c>
      <c r="D115" s="3">
        <v>0</v>
      </c>
      <c r="E115" s="3">
        <f>D115*0.55</f>
        <v>0</v>
      </c>
      <c r="F115" s="4">
        <f>D115/224</f>
        <v>0</v>
      </c>
      <c r="G115" s="26">
        <f>D115/9.22</f>
        <v>0</v>
      </c>
      <c r="H115" s="23"/>
    </row>
    <row r="116" spans="1:8" s="24" customFormat="1">
      <c r="A116" s="2" t="s">
        <v>228</v>
      </c>
      <c r="B116" s="2" t="s">
        <v>199</v>
      </c>
      <c r="C116" s="2" t="s">
        <v>229</v>
      </c>
      <c r="D116" s="3">
        <v>0</v>
      </c>
      <c r="E116" s="3">
        <f>D116*0.28</f>
        <v>0</v>
      </c>
      <c r="F116" s="4">
        <f>D116/296</f>
        <v>0</v>
      </c>
      <c r="G116" s="26">
        <f>D116/16.25</f>
        <v>0</v>
      </c>
      <c r="H116" s="23"/>
    </row>
    <row r="117" spans="1:8" s="24" customFormat="1">
      <c r="A117" s="2" t="s">
        <v>230</v>
      </c>
      <c r="B117" s="2" t="s">
        <v>199</v>
      </c>
      <c r="C117" s="2" t="s">
        <v>231</v>
      </c>
      <c r="D117" s="3">
        <v>0</v>
      </c>
      <c r="E117" s="3">
        <f>D117*0.28</f>
        <v>0</v>
      </c>
      <c r="F117" s="4">
        <f>D117/360</f>
        <v>0</v>
      </c>
      <c r="G117" s="26">
        <f>D117/13.25</f>
        <v>0</v>
      </c>
      <c r="H117" s="23"/>
    </row>
    <row r="118" spans="1:8" s="24" customFormat="1">
      <c r="A118" s="2" t="s">
        <v>232</v>
      </c>
      <c r="B118" s="2" t="s">
        <v>233</v>
      </c>
      <c r="C118" s="2" t="s">
        <v>234</v>
      </c>
      <c r="D118" s="3">
        <v>0</v>
      </c>
      <c r="E118" s="3">
        <f>D118*0.35</f>
        <v>0</v>
      </c>
      <c r="F118" s="4">
        <f>D118/207</f>
        <v>0</v>
      </c>
      <c r="G118" s="26">
        <f>D118/11</f>
        <v>0</v>
      </c>
      <c r="H118" s="23"/>
    </row>
    <row r="119" spans="1:8" s="24" customFormat="1">
      <c r="A119" s="2" t="s">
        <v>235</v>
      </c>
      <c r="B119" s="2" t="s">
        <v>236</v>
      </c>
      <c r="C119" s="2" t="s">
        <v>237</v>
      </c>
      <c r="D119" s="3">
        <v>0</v>
      </c>
      <c r="E119" s="3">
        <f>D119*0.23</f>
        <v>0</v>
      </c>
      <c r="F119" s="4">
        <f>D119/533</f>
        <v>0</v>
      </c>
      <c r="G119" s="26">
        <f>D119/16</f>
        <v>0</v>
      </c>
      <c r="H119" s="23"/>
    </row>
    <row r="120" spans="1:8" s="24" customFormat="1">
      <c r="A120" s="2" t="s">
        <v>238</v>
      </c>
      <c r="B120" s="2" t="s">
        <v>239</v>
      </c>
      <c r="C120" s="2" t="s">
        <v>237</v>
      </c>
      <c r="D120" s="3">
        <v>0</v>
      </c>
      <c r="E120" s="3">
        <f>D120*0.205</f>
        <v>0</v>
      </c>
      <c r="F120" s="4">
        <f t="shared" ref="F120" si="16">D120/533</f>
        <v>0</v>
      </c>
      <c r="G120" s="26">
        <f t="shared" ref="G120:G121" si="17">D120/16</f>
        <v>0</v>
      </c>
      <c r="H120" s="23"/>
    </row>
    <row r="121" spans="1:8" s="24" customFormat="1">
      <c r="A121" s="2" t="s">
        <v>240</v>
      </c>
      <c r="B121" s="2" t="s">
        <v>241</v>
      </c>
      <c r="C121" s="2" t="s">
        <v>242</v>
      </c>
      <c r="D121" s="3">
        <v>0</v>
      </c>
      <c r="E121" s="3">
        <f>D121*0.34</f>
        <v>0</v>
      </c>
      <c r="F121" s="4">
        <f>D121/218</f>
        <v>0</v>
      </c>
      <c r="G121" s="26">
        <f t="shared" si="17"/>
        <v>0</v>
      </c>
      <c r="H121" s="23"/>
    </row>
    <row r="122" spans="1:8" s="24" customFormat="1">
      <c r="A122" s="2" t="s">
        <v>243</v>
      </c>
      <c r="B122" s="2" t="s">
        <v>244</v>
      </c>
      <c r="C122" s="2" t="s">
        <v>245</v>
      </c>
      <c r="D122" s="3">
        <v>0</v>
      </c>
      <c r="E122" s="3">
        <f>D122*0.345</f>
        <v>0</v>
      </c>
      <c r="F122" s="4">
        <f>D122/279</f>
        <v>0</v>
      </c>
      <c r="G122" s="26">
        <f>D122/11</f>
        <v>0</v>
      </c>
      <c r="H122" s="23"/>
    </row>
    <row r="123" spans="1:8" s="24" customFormat="1">
      <c r="A123" s="2" t="s">
        <v>246</v>
      </c>
      <c r="B123" s="2" t="s">
        <v>247</v>
      </c>
      <c r="C123" s="2" t="s">
        <v>245</v>
      </c>
      <c r="D123" s="3">
        <v>0</v>
      </c>
      <c r="E123" s="3">
        <f>D123*0.315</f>
        <v>0</v>
      </c>
      <c r="F123" s="4">
        <f t="shared" ref="F123:F129" si="18">D123/279</f>
        <v>0</v>
      </c>
      <c r="G123" s="26">
        <f t="shared" ref="G123:G129" si="19">D123/11</f>
        <v>0</v>
      </c>
      <c r="H123" s="23"/>
    </row>
    <row r="124" spans="1:8" s="24" customFormat="1">
      <c r="A124" s="2" t="s">
        <v>248</v>
      </c>
      <c r="B124" s="2" t="s">
        <v>249</v>
      </c>
      <c r="C124" s="2" t="s">
        <v>245</v>
      </c>
      <c r="D124" s="3">
        <v>0</v>
      </c>
      <c r="E124" s="3">
        <f>D124*0.3</f>
        <v>0</v>
      </c>
      <c r="F124" s="4">
        <f t="shared" si="18"/>
        <v>0</v>
      </c>
      <c r="G124" s="26">
        <f t="shared" si="19"/>
        <v>0</v>
      </c>
      <c r="H124" s="23"/>
    </row>
    <row r="125" spans="1:8" s="24" customFormat="1">
      <c r="A125" s="2" t="s">
        <v>250</v>
      </c>
      <c r="B125" s="2" t="s">
        <v>251</v>
      </c>
      <c r="C125" s="2" t="s">
        <v>245</v>
      </c>
      <c r="D125" s="3">
        <v>0</v>
      </c>
      <c r="E125" s="3">
        <f>D125*0.32</f>
        <v>0</v>
      </c>
      <c r="F125" s="4">
        <f t="shared" si="18"/>
        <v>0</v>
      </c>
      <c r="G125" s="26">
        <f t="shared" si="19"/>
        <v>0</v>
      </c>
      <c r="H125" s="23"/>
    </row>
    <row r="126" spans="1:8" s="24" customFormat="1">
      <c r="A126" s="2" t="s">
        <v>252</v>
      </c>
      <c r="B126" s="2" t="s">
        <v>253</v>
      </c>
      <c r="C126" s="2" t="s">
        <v>245</v>
      </c>
      <c r="D126" s="3">
        <v>0</v>
      </c>
      <c r="E126" s="3">
        <f>D126*0.33</f>
        <v>0</v>
      </c>
      <c r="F126" s="4">
        <f t="shared" si="18"/>
        <v>0</v>
      </c>
      <c r="G126" s="26">
        <f t="shared" si="19"/>
        <v>0</v>
      </c>
      <c r="H126" s="23"/>
    </row>
    <row r="127" spans="1:8" s="24" customFormat="1">
      <c r="A127" s="2" t="s">
        <v>254</v>
      </c>
      <c r="B127" s="2" t="s">
        <v>255</v>
      </c>
      <c r="C127" s="2" t="s">
        <v>245</v>
      </c>
      <c r="D127" s="3">
        <v>0</v>
      </c>
      <c r="E127" s="3">
        <f>D127*0.36</f>
        <v>0</v>
      </c>
      <c r="F127" s="4">
        <f t="shared" si="18"/>
        <v>0</v>
      </c>
      <c r="G127" s="26">
        <f t="shared" si="19"/>
        <v>0</v>
      </c>
      <c r="H127" s="23"/>
    </row>
    <row r="128" spans="1:8" s="24" customFormat="1">
      <c r="A128" s="2" t="s">
        <v>256</v>
      </c>
      <c r="B128" s="2" t="s">
        <v>257</v>
      </c>
      <c r="C128" s="2" t="s">
        <v>245</v>
      </c>
      <c r="D128" s="3">
        <v>0</v>
      </c>
      <c r="E128" s="3">
        <f>D128*0.38</f>
        <v>0</v>
      </c>
      <c r="F128" s="4">
        <f t="shared" si="18"/>
        <v>0</v>
      </c>
      <c r="G128" s="26">
        <f t="shared" si="19"/>
        <v>0</v>
      </c>
      <c r="H128" s="23"/>
    </row>
    <row r="129" spans="1:8" s="24" customFormat="1">
      <c r="A129" s="2" t="s">
        <v>258</v>
      </c>
      <c r="B129" s="2" t="s">
        <v>259</v>
      </c>
      <c r="C129" s="2" t="s">
        <v>245</v>
      </c>
      <c r="D129" s="3">
        <v>0</v>
      </c>
      <c r="E129" s="3">
        <f>D129*0.35</f>
        <v>0</v>
      </c>
      <c r="F129" s="4">
        <f t="shared" si="18"/>
        <v>0</v>
      </c>
      <c r="G129" s="26">
        <f t="shared" si="19"/>
        <v>0</v>
      </c>
      <c r="H129" s="23"/>
    </row>
    <row r="130" spans="1:8" s="24" customFormat="1">
      <c r="A130" s="2" t="s">
        <v>260</v>
      </c>
      <c r="B130" s="2" t="s">
        <v>261</v>
      </c>
      <c r="C130" s="2" t="s">
        <v>237</v>
      </c>
      <c r="D130" s="3">
        <v>0</v>
      </c>
      <c r="E130" s="3">
        <f>D130*0.24</f>
        <v>0</v>
      </c>
      <c r="F130" s="4">
        <f>D130/533</f>
        <v>0</v>
      </c>
      <c r="G130" s="26">
        <f>D130/16</f>
        <v>0</v>
      </c>
      <c r="H130" s="23"/>
    </row>
    <row r="131" spans="1:8" s="24" customFormat="1">
      <c r="A131" s="2" t="s">
        <v>262</v>
      </c>
      <c r="B131" s="2" t="s">
        <v>263</v>
      </c>
      <c r="C131" s="2" t="s">
        <v>237</v>
      </c>
      <c r="D131" s="3">
        <v>0</v>
      </c>
      <c r="E131" s="3">
        <f>D131*0.24</f>
        <v>0</v>
      </c>
      <c r="F131" s="4">
        <f t="shared" ref="F131:F132" si="20">D131/533</f>
        <v>0</v>
      </c>
      <c r="G131" s="26">
        <f t="shared" ref="G131:G132" si="21">D131/16</f>
        <v>0</v>
      </c>
      <c r="H131" s="23"/>
    </row>
    <row r="132" spans="1:8" s="24" customFormat="1">
      <c r="A132" s="2" t="s">
        <v>264</v>
      </c>
      <c r="B132" s="2" t="s">
        <v>265</v>
      </c>
      <c r="C132" s="2" t="s">
        <v>237</v>
      </c>
      <c r="D132" s="3">
        <v>0</v>
      </c>
      <c r="E132" s="3">
        <f>D132*0.23</f>
        <v>0</v>
      </c>
      <c r="F132" s="4">
        <f t="shared" si="20"/>
        <v>0</v>
      </c>
      <c r="G132" s="26">
        <f t="shared" si="21"/>
        <v>0</v>
      </c>
      <c r="H132" s="23"/>
    </row>
    <row r="133" spans="1:8" s="24" customFormat="1">
      <c r="A133" s="27" t="s">
        <v>266</v>
      </c>
      <c r="B133" s="27" t="s">
        <v>267</v>
      </c>
      <c r="C133" s="27" t="s">
        <v>245</v>
      </c>
      <c r="D133" s="3">
        <v>0</v>
      </c>
      <c r="E133" s="27">
        <f>D133*0.35</f>
        <v>0</v>
      </c>
      <c r="F133" s="28">
        <f>D133/234</f>
        <v>0</v>
      </c>
      <c r="G133" s="29">
        <f>D133/11</f>
        <v>0</v>
      </c>
      <c r="H133" s="23"/>
    </row>
    <row r="134" spans="1:8" s="24" customFormat="1">
      <c r="A134" s="2" t="s">
        <v>268</v>
      </c>
      <c r="B134" s="2" t="s">
        <v>269</v>
      </c>
      <c r="C134" s="2" t="s">
        <v>245</v>
      </c>
      <c r="D134" s="3">
        <v>0</v>
      </c>
      <c r="E134" s="3">
        <f>D134*0.42</f>
        <v>0</v>
      </c>
      <c r="F134" s="4">
        <f>D134/153</f>
        <v>0</v>
      </c>
      <c r="G134" s="26">
        <f t="shared" ref="G134:G139" si="22">D134/11</f>
        <v>0</v>
      </c>
      <c r="H134" s="23"/>
    </row>
    <row r="135" spans="1:8" s="24" customFormat="1" ht="30">
      <c r="A135" s="2" t="s">
        <v>270</v>
      </c>
      <c r="B135" s="2" t="s">
        <v>271</v>
      </c>
      <c r="C135" s="2" t="s">
        <v>8</v>
      </c>
      <c r="D135" s="3">
        <v>0</v>
      </c>
      <c r="E135" s="3">
        <f>D135*0.33</f>
        <v>0</v>
      </c>
      <c r="F135" s="4">
        <f>D135/180</f>
        <v>0</v>
      </c>
      <c r="G135" s="26">
        <f t="shared" si="22"/>
        <v>0</v>
      </c>
      <c r="H135" s="23"/>
    </row>
    <row r="136" spans="1:8" s="24" customFormat="1">
      <c r="A136" s="2" t="s">
        <v>272</v>
      </c>
      <c r="B136" s="2" t="s">
        <v>273</v>
      </c>
      <c r="C136" s="2" t="s">
        <v>245</v>
      </c>
      <c r="D136" s="3">
        <v>0</v>
      </c>
      <c r="E136" s="3">
        <f>D136*0.42</f>
        <v>0</v>
      </c>
      <c r="F136" s="4">
        <f>D136/279</f>
        <v>0</v>
      </c>
      <c r="G136" s="26">
        <f t="shared" si="22"/>
        <v>0</v>
      </c>
      <c r="H136" s="23"/>
    </row>
    <row r="137" spans="1:8" s="24" customFormat="1">
      <c r="A137" s="2" t="s">
        <v>274</v>
      </c>
      <c r="B137" s="2" t="s">
        <v>275</v>
      </c>
      <c r="C137" s="2" t="s">
        <v>245</v>
      </c>
      <c r="D137" s="3">
        <v>0</v>
      </c>
      <c r="E137" s="3">
        <f>D137*0.33</f>
        <v>0</v>
      </c>
      <c r="F137" s="4">
        <f t="shared" ref="F137:F139" si="23">D137/279</f>
        <v>0</v>
      </c>
      <c r="G137" s="26">
        <f t="shared" si="22"/>
        <v>0</v>
      </c>
      <c r="H137" s="23"/>
    </row>
    <row r="138" spans="1:8" s="24" customFormat="1">
      <c r="A138" s="2" t="s">
        <v>276</v>
      </c>
      <c r="B138" s="2" t="s">
        <v>277</v>
      </c>
      <c r="C138" s="2" t="s">
        <v>245</v>
      </c>
      <c r="D138" s="3">
        <v>0</v>
      </c>
      <c r="E138" s="3">
        <f>D138*0.315</f>
        <v>0</v>
      </c>
      <c r="F138" s="4">
        <f t="shared" si="23"/>
        <v>0</v>
      </c>
      <c r="G138" s="26">
        <f t="shared" si="22"/>
        <v>0</v>
      </c>
      <c r="H138" s="23"/>
    </row>
    <row r="139" spans="1:8" s="24" customFormat="1">
      <c r="A139" s="2" t="s">
        <v>393</v>
      </c>
      <c r="B139" s="2" t="s">
        <v>392</v>
      </c>
      <c r="C139" s="2" t="s">
        <v>245</v>
      </c>
      <c r="D139" s="3">
        <v>0</v>
      </c>
      <c r="E139" s="3">
        <f>D139*0.385</f>
        <v>0</v>
      </c>
      <c r="F139" s="4">
        <f t="shared" si="23"/>
        <v>0</v>
      </c>
      <c r="G139" s="26">
        <f t="shared" si="22"/>
        <v>0</v>
      </c>
      <c r="H139" s="23"/>
    </row>
    <row r="140" spans="1:8" s="24" customFormat="1">
      <c r="A140" s="2" t="s">
        <v>278</v>
      </c>
      <c r="B140" s="2" t="s">
        <v>279</v>
      </c>
      <c r="C140" s="2" t="s">
        <v>280</v>
      </c>
      <c r="D140" s="3">
        <v>0</v>
      </c>
      <c r="E140" s="3">
        <f>D140*0.635</f>
        <v>0</v>
      </c>
      <c r="F140" s="4">
        <f>D140/150</f>
        <v>0</v>
      </c>
      <c r="G140" s="26">
        <f>D140/8</f>
        <v>0</v>
      </c>
      <c r="H140" s="23"/>
    </row>
    <row r="141" spans="1:8" s="24" customFormat="1">
      <c r="A141" s="2" t="s">
        <v>281</v>
      </c>
      <c r="B141" s="2" t="s">
        <v>282</v>
      </c>
      <c r="C141" s="2" t="s">
        <v>280</v>
      </c>
      <c r="D141" s="3">
        <v>0</v>
      </c>
      <c r="E141" s="3">
        <f>D141*0.635</f>
        <v>0</v>
      </c>
      <c r="F141" s="4">
        <f t="shared" ref="F141:F144" si="24">D141/150</f>
        <v>0</v>
      </c>
      <c r="G141" s="26">
        <f t="shared" ref="G141:G144" si="25">D141/8</f>
        <v>0</v>
      </c>
      <c r="H141" s="23"/>
    </row>
    <row r="142" spans="1:8" s="24" customFormat="1">
      <c r="A142" s="2" t="s">
        <v>283</v>
      </c>
      <c r="B142" s="2" t="s">
        <v>284</v>
      </c>
      <c r="C142" s="2" t="s">
        <v>280</v>
      </c>
      <c r="D142" s="3">
        <v>0</v>
      </c>
      <c r="E142" s="3">
        <f>D142*0.51</f>
        <v>0</v>
      </c>
      <c r="F142" s="4">
        <f t="shared" si="24"/>
        <v>0</v>
      </c>
      <c r="G142" s="26">
        <f t="shared" si="25"/>
        <v>0</v>
      </c>
      <c r="H142" s="23"/>
    </row>
    <row r="143" spans="1:8" s="24" customFormat="1">
      <c r="A143" s="2" t="s">
        <v>285</v>
      </c>
      <c r="B143" s="2" t="s">
        <v>275</v>
      </c>
      <c r="C143" s="2" t="s">
        <v>280</v>
      </c>
      <c r="D143" s="3">
        <v>0</v>
      </c>
      <c r="E143" s="3">
        <f>D143*0.56</f>
        <v>0</v>
      </c>
      <c r="F143" s="4">
        <f t="shared" si="24"/>
        <v>0</v>
      </c>
      <c r="G143" s="26">
        <f t="shared" si="25"/>
        <v>0</v>
      </c>
      <c r="H143" s="23"/>
    </row>
    <row r="144" spans="1:8" s="24" customFormat="1">
      <c r="A144" s="2" t="s">
        <v>413</v>
      </c>
      <c r="B144" s="2" t="s">
        <v>414</v>
      </c>
      <c r="C144" s="2" t="s">
        <v>280</v>
      </c>
      <c r="D144" s="3">
        <v>0</v>
      </c>
      <c r="E144" s="3">
        <f>D144*0.56</f>
        <v>0</v>
      </c>
      <c r="F144" s="4">
        <f t="shared" si="24"/>
        <v>0</v>
      </c>
      <c r="G144" s="26">
        <f t="shared" si="25"/>
        <v>0</v>
      </c>
      <c r="H144" s="23"/>
    </row>
    <row r="145" spans="1:8" s="24" customFormat="1">
      <c r="A145" s="2" t="s">
        <v>286</v>
      </c>
      <c r="B145" s="2" t="s">
        <v>287</v>
      </c>
      <c r="C145" s="2" t="s">
        <v>290</v>
      </c>
      <c r="D145" s="3">
        <v>0</v>
      </c>
      <c r="E145" s="3">
        <f>D145*0.75</f>
        <v>0</v>
      </c>
      <c r="F145" s="4">
        <f>D145/93</f>
        <v>0</v>
      </c>
      <c r="G145" s="26">
        <f>D145/6.25</f>
        <v>0</v>
      </c>
      <c r="H145" s="23"/>
    </row>
    <row r="146" spans="1:8" s="24" customFormat="1">
      <c r="A146" s="2" t="s">
        <v>288</v>
      </c>
      <c r="B146" s="2" t="s">
        <v>289</v>
      </c>
      <c r="C146" s="2" t="s">
        <v>290</v>
      </c>
      <c r="D146" s="3">
        <v>0</v>
      </c>
      <c r="E146" s="3">
        <f>D146*0.74</f>
        <v>0</v>
      </c>
      <c r="F146" s="4">
        <f t="shared" ref="F146:F149" si="26">D146/93</f>
        <v>0</v>
      </c>
      <c r="G146" s="26">
        <f t="shared" ref="G146:G149" si="27">D146/6.25</f>
        <v>0</v>
      </c>
      <c r="H146" s="23"/>
    </row>
    <row r="147" spans="1:8" s="24" customFormat="1" ht="30">
      <c r="A147" s="2" t="s">
        <v>291</v>
      </c>
      <c r="B147" s="2" t="s">
        <v>391</v>
      </c>
      <c r="C147" s="2" t="s">
        <v>290</v>
      </c>
      <c r="D147" s="3">
        <v>0</v>
      </c>
      <c r="E147" s="3">
        <f>D147*0.83</f>
        <v>0</v>
      </c>
      <c r="F147" s="4">
        <f t="shared" si="26"/>
        <v>0</v>
      </c>
      <c r="G147" s="26">
        <f t="shared" si="27"/>
        <v>0</v>
      </c>
      <c r="H147" s="23"/>
    </row>
    <row r="148" spans="1:8" s="24" customFormat="1">
      <c r="A148" s="2" t="s">
        <v>292</v>
      </c>
      <c r="B148" s="2" t="s">
        <v>275</v>
      </c>
      <c r="C148" s="2" t="s">
        <v>290</v>
      </c>
      <c r="D148" s="3">
        <v>0</v>
      </c>
      <c r="E148" s="3">
        <f>D148*0.77</f>
        <v>0</v>
      </c>
      <c r="F148" s="4">
        <f t="shared" si="26"/>
        <v>0</v>
      </c>
      <c r="G148" s="26">
        <f t="shared" si="27"/>
        <v>0</v>
      </c>
      <c r="H148" s="23"/>
    </row>
    <row r="149" spans="1:8" s="24" customFormat="1">
      <c r="A149" s="2" t="s">
        <v>293</v>
      </c>
      <c r="B149" s="2" t="s">
        <v>294</v>
      </c>
      <c r="C149" s="2" t="s">
        <v>290</v>
      </c>
      <c r="D149" s="3">
        <v>0</v>
      </c>
      <c r="E149" s="3">
        <f>D149*0.74</f>
        <v>0</v>
      </c>
      <c r="F149" s="4">
        <f t="shared" si="26"/>
        <v>0</v>
      </c>
      <c r="G149" s="26">
        <f t="shared" si="27"/>
        <v>0</v>
      </c>
      <c r="H149" s="23"/>
    </row>
    <row r="150" spans="1:8" s="24" customFormat="1">
      <c r="A150" s="2" t="s">
        <v>295</v>
      </c>
      <c r="B150" s="2" t="s">
        <v>296</v>
      </c>
      <c r="C150" s="2" t="s">
        <v>297</v>
      </c>
      <c r="D150" s="3">
        <v>0</v>
      </c>
      <c r="E150" s="3">
        <f>D150*1.35</f>
        <v>0</v>
      </c>
      <c r="F150" s="4">
        <f>D150/53</f>
        <v>0</v>
      </c>
      <c r="G150" s="26">
        <f>D150/3.29</f>
        <v>0</v>
      </c>
      <c r="H150" s="23"/>
    </row>
    <row r="151" spans="1:8" s="24" customFormat="1">
      <c r="A151" s="2" t="s">
        <v>298</v>
      </c>
      <c r="B151" s="2" t="s">
        <v>299</v>
      </c>
      <c r="C151" s="2" t="s">
        <v>290</v>
      </c>
      <c r="D151" s="3">
        <v>0</v>
      </c>
      <c r="E151" s="3">
        <f>D151*0.79</f>
        <v>0</v>
      </c>
      <c r="F151" s="4">
        <f>D151/93</f>
        <v>0</v>
      </c>
      <c r="G151" s="26">
        <f>D151/6.25</f>
        <v>0</v>
      </c>
      <c r="H151" s="23"/>
    </row>
    <row r="152" spans="1:8" s="24" customFormat="1">
      <c r="A152" s="2" t="s">
        <v>300</v>
      </c>
      <c r="B152" s="2" t="s">
        <v>301</v>
      </c>
      <c r="C152" s="2" t="s">
        <v>302</v>
      </c>
      <c r="D152" s="3">
        <v>0</v>
      </c>
      <c r="E152" s="3">
        <f>D152*1.05</f>
        <v>0</v>
      </c>
      <c r="F152" s="4">
        <f>D152/76</f>
        <v>0</v>
      </c>
      <c r="G152" s="26">
        <f>D152/5</f>
        <v>0</v>
      </c>
      <c r="H152" s="23"/>
    </row>
    <row r="153" spans="1:8" s="24" customFormat="1">
      <c r="A153" s="2" t="s">
        <v>303</v>
      </c>
      <c r="B153" s="2" t="s">
        <v>304</v>
      </c>
      <c r="C153" s="2" t="s">
        <v>184</v>
      </c>
      <c r="D153" s="3">
        <v>0</v>
      </c>
      <c r="E153" s="3">
        <f>D153*1.2</f>
        <v>0</v>
      </c>
      <c r="F153" s="4">
        <f>D153/60</f>
        <v>0</v>
      </c>
      <c r="G153" s="26">
        <f>D153/4</f>
        <v>0</v>
      </c>
      <c r="H153" s="23"/>
    </row>
    <row r="154" spans="1:8" s="24" customFormat="1">
      <c r="A154" s="2" t="s">
        <v>305</v>
      </c>
      <c r="B154" s="2" t="s">
        <v>306</v>
      </c>
      <c r="C154" s="2" t="s">
        <v>307</v>
      </c>
      <c r="D154" s="3">
        <v>0</v>
      </c>
      <c r="E154" s="3">
        <f>D154*0.72</f>
        <v>0</v>
      </c>
      <c r="F154" s="4">
        <f>D154/120</f>
        <v>0</v>
      </c>
      <c r="G154" s="26">
        <f>D154/7.8</f>
        <v>0</v>
      </c>
      <c r="H154" s="23"/>
    </row>
    <row r="155" spans="1:8" s="24" customFormat="1">
      <c r="A155" s="2" t="s">
        <v>308</v>
      </c>
      <c r="B155" s="2" t="s">
        <v>309</v>
      </c>
      <c r="C155" s="2" t="s">
        <v>290</v>
      </c>
      <c r="D155" s="3">
        <v>0</v>
      </c>
      <c r="E155" s="3">
        <f>D155*0.8</f>
        <v>0</v>
      </c>
      <c r="F155" s="4">
        <f>D155/93</f>
        <v>0</v>
      </c>
      <c r="G155" s="26">
        <f>D155/6.25</f>
        <v>0</v>
      </c>
      <c r="H155" s="23"/>
    </row>
    <row r="156" spans="1:8" s="24" customFormat="1">
      <c r="A156" s="2" t="s">
        <v>310</v>
      </c>
      <c r="B156" s="2" t="s">
        <v>311</v>
      </c>
      <c r="C156" s="2" t="s">
        <v>290</v>
      </c>
      <c r="D156" s="3">
        <v>0</v>
      </c>
      <c r="E156" s="3">
        <f>D156*1.05</f>
        <v>0</v>
      </c>
      <c r="F156" s="4">
        <f t="shared" ref="F156:F157" si="28">D156/93</f>
        <v>0</v>
      </c>
      <c r="G156" s="26">
        <f t="shared" ref="G156:G157" si="29">D156/6.25</f>
        <v>0</v>
      </c>
      <c r="H156" s="23"/>
    </row>
    <row r="157" spans="1:8" s="24" customFormat="1">
      <c r="A157" s="2" t="s">
        <v>312</v>
      </c>
      <c r="B157" s="2" t="s">
        <v>313</v>
      </c>
      <c r="C157" s="2" t="s">
        <v>290</v>
      </c>
      <c r="D157" s="3">
        <v>0</v>
      </c>
      <c r="E157" s="3">
        <f>D157*0.84</f>
        <v>0</v>
      </c>
      <c r="F157" s="4">
        <f t="shared" si="28"/>
        <v>0</v>
      </c>
      <c r="G157" s="26">
        <f t="shared" si="29"/>
        <v>0</v>
      </c>
      <c r="H157" s="23"/>
    </row>
    <row r="158" spans="1:8" s="24" customFormat="1">
      <c r="A158" s="2" t="s">
        <v>314</v>
      </c>
      <c r="B158" s="2" t="s">
        <v>315</v>
      </c>
      <c r="C158" s="2" t="s">
        <v>184</v>
      </c>
      <c r="D158" s="3">
        <v>0</v>
      </c>
      <c r="E158" s="3">
        <f>D158*1.215</f>
        <v>0</v>
      </c>
      <c r="F158" s="4">
        <f>D158/60</f>
        <v>0</v>
      </c>
      <c r="G158" s="26">
        <f>D158/4</f>
        <v>0</v>
      </c>
      <c r="H158" s="23"/>
    </row>
    <row r="159" spans="1:8" s="24" customFormat="1">
      <c r="A159" s="2" t="s">
        <v>316</v>
      </c>
      <c r="B159" s="2" t="s">
        <v>317</v>
      </c>
      <c r="C159" s="2" t="s">
        <v>318</v>
      </c>
      <c r="D159" s="3">
        <v>0</v>
      </c>
      <c r="E159" s="3">
        <f>D159*0.78</f>
        <v>0</v>
      </c>
      <c r="F159" s="4">
        <f>D159/93</f>
        <v>0</v>
      </c>
      <c r="G159" s="26">
        <f>D159/6.25</f>
        <v>0</v>
      </c>
      <c r="H159" s="23"/>
    </row>
    <row r="160" spans="1:8" s="24" customFormat="1">
      <c r="A160" s="2" t="s">
        <v>319</v>
      </c>
      <c r="B160" s="2" t="s">
        <v>320</v>
      </c>
      <c r="C160" s="2" t="s">
        <v>321</v>
      </c>
      <c r="D160" s="3">
        <v>0</v>
      </c>
      <c r="E160" s="3">
        <f>D160*0.51</f>
        <v>0</v>
      </c>
      <c r="F160" s="4">
        <f>D160/150</f>
        <v>0</v>
      </c>
      <c r="G160" s="26">
        <f>D160/8</f>
        <v>0</v>
      </c>
      <c r="H160" s="23"/>
    </row>
    <row r="161" spans="1:8" s="24" customFormat="1">
      <c r="A161" s="2" t="s">
        <v>322</v>
      </c>
      <c r="B161" s="2" t="s">
        <v>323</v>
      </c>
      <c r="C161" s="2" t="s">
        <v>290</v>
      </c>
      <c r="D161" s="3">
        <v>0</v>
      </c>
      <c r="E161" s="3">
        <f>D161*0.74</f>
        <v>0</v>
      </c>
      <c r="F161" s="4">
        <f>D161/93</f>
        <v>0</v>
      </c>
      <c r="G161" s="26">
        <f>D161/6.25</f>
        <v>0</v>
      </c>
      <c r="H161" s="23"/>
    </row>
    <row r="162" spans="1:8" s="24" customFormat="1">
      <c r="A162" s="2" t="s">
        <v>415</v>
      </c>
      <c r="B162" s="2" t="s">
        <v>416</v>
      </c>
      <c r="C162" s="2" t="s">
        <v>290</v>
      </c>
      <c r="D162" s="3">
        <v>0</v>
      </c>
      <c r="E162" s="3">
        <f>D162*0.83</f>
        <v>0</v>
      </c>
      <c r="F162" s="4">
        <f t="shared" ref="F162:F163" si="30">D162/93</f>
        <v>0</v>
      </c>
      <c r="G162" s="26">
        <f t="shared" ref="G162:G163" si="31">D162/6.25</f>
        <v>0</v>
      </c>
      <c r="H162" s="23"/>
    </row>
    <row r="163" spans="1:8" s="24" customFormat="1">
      <c r="A163" s="2" t="s">
        <v>417</v>
      </c>
      <c r="B163" s="2" t="s">
        <v>418</v>
      </c>
      <c r="C163" s="2" t="s">
        <v>184</v>
      </c>
      <c r="D163" s="3">
        <v>0</v>
      </c>
      <c r="E163" s="3">
        <f>D163*0.7</f>
        <v>0</v>
      </c>
      <c r="F163" s="4">
        <f t="shared" si="30"/>
        <v>0</v>
      </c>
      <c r="G163" s="26">
        <f t="shared" si="31"/>
        <v>0</v>
      </c>
      <c r="H163" s="23"/>
    </row>
    <row r="164" spans="1:8" s="24" customFormat="1">
      <c r="A164" s="2" t="s">
        <v>397</v>
      </c>
      <c r="B164" s="2" t="s">
        <v>398</v>
      </c>
      <c r="C164" s="2" t="s">
        <v>419</v>
      </c>
      <c r="D164" s="3">
        <v>0</v>
      </c>
      <c r="E164" s="3">
        <f>D164*1.061</f>
        <v>0</v>
      </c>
      <c r="F164" s="4">
        <f>D164/74</f>
        <v>0</v>
      </c>
      <c r="G164" s="26">
        <f>D164/5.5</f>
        <v>0</v>
      </c>
      <c r="H164" s="23"/>
    </row>
    <row r="165" spans="1:8" s="24" customFormat="1">
      <c r="A165" s="2" t="s">
        <v>324</v>
      </c>
      <c r="B165" s="2" t="s">
        <v>325</v>
      </c>
      <c r="C165" s="2" t="s">
        <v>326</v>
      </c>
      <c r="D165" s="3">
        <v>0</v>
      </c>
      <c r="E165" s="3">
        <f>D165*0.25</f>
        <v>0</v>
      </c>
      <c r="F165" s="4">
        <f>D165/370</f>
        <v>0</v>
      </c>
      <c r="G165" s="26">
        <f>D165/34.7</f>
        <v>0</v>
      </c>
      <c r="H165" s="23"/>
    </row>
    <row r="166" spans="1:8" s="24" customFormat="1">
      <c r="A166" s="2" t="s">
        <v>327</v>
      </c>
      <c r="B166" s="2" t="s">
        <v>325</v>
      </c>
      <c r="C166" s="2" t="s">
        <v>50</v>
      </c>
      <c r="D166" s="3">
        <v>0</v>
      </c>
      <c r="E166" s="3">
        <f>D166*0.33</f>
        <v>0</v>
      </c>
      <c r="F166" s="4">
        <f>D166/330</f>
        <v>0</v>
      </c>
      <c r="G166" s="26">
        <f>D166/23.25</f>
        <v>0</v>
      </c>
      <c r="H166" s="23"/>
    </row>
    <row r="167" spans="1:8" s="24" customFormat="1">
      <c r="A167" s="2" t="s">
        <v>328</v>
      </c>
      <c r="B167" s="2" t="s">
        <v>325</v>
      </c>
      <c r="C167" s="2" t="s">
        <v>329</v>
      </c>
      <c r="D167" s="3">
        <v>0</v>
      </c>
      <c r="E167" s="3">
        <f>D167*0.37</f>
        <v>0</v>
      </c>
      <c r="F167" s="4">
        <f>D167/152</f>
        <v>0</v>
      </c>
      <c r="G167" s="26">
        <f>D167/29.25</f>
        <v>0</v>
      </c>
      <c r="H167" s="23"/>
    </row>
    <row r="168" spans="1:8" s="24" customFormat="1">
      <c r="A168" s="2" t="s">
        <v>330</v>
      </c>
      <c r="B168" s="2" t="s">
        <v>325</v>
      </c>
      <c r="C168" s="2" t="s">
        <v>331</v>
      </c>
      <c r="D168" s="3">
        <v>0</v>
      </c>
      <c r="E168" s="3">
        <f>D168*0.365</f>
        <v>0</v>
      </c>
      <c r="F168" s="4">
        <f>D168/210</f>
        <v>0</v>
      </c>
      <c r="G168" s="26">
        <f>D168/41.75</f>
        <v>0</v>
      </c>
      <c r="H168" s="23"/>
    </row>
    <row r="169" spans="1:8" s="24" customFormat="1">
      <c r="A169" s="2" t="s">
        <v>332</v>
      </c>
      <c r="B169" s="2" t="s">
        <v>325</v>
      </c>
      <c r="C169" s="2" t="s">
        <v>333</v>
      </c>
      <c r="D169" s="3">
        <v>0</v>
      </c>
      <c r="E169" s="3">
        <f>D169*0.355</f>
        <v>0</v>
      </c>
      <c r="F169" s="4">
        <f>D169/214</f>
        <v>0</v>
      </c>
      <c r="G169" s="26">
        <f>D169/41.75</f>
        <v>0</v>
      </c>
      <c r="H169" s="23"/>
    </row>
    <row r="170" spans="1:8" s="24" customFormat="1">
      <c r="A170" s="2" t="s">
        <v>334</v>
      </c>
      <c r="B170" s="2" t="s">
        <v>335</v>
      </c>
      <c r="C170" s="2" t="s">
        <v>336</v>
      </c>
      <c r="D170" s="3">
        <v>0</v>
      </c>
      <c r="E170" s="3">
        <f>D170*0.445</f>
        <v>0</v>
      </c>
      <c r="F170" s="4">
        <f>D170/192</f>
        <v>0</v>
      </c>
      <c r="G170" s="26"/>
      <c r="H170" s="23"/>
    </row>
    <row r="171" spans="1:8" s="24" customFormat="1">
      <c r="A171" s="2" t="s">
        <v>337</v>
      </c>
      <c r="B171" s="2" t="s">
        <v>338</v>
      </c>
      <c r="C171" s="2" t="s">
        <v>339</v>
      </c>
      <c r="D171" s="3">
        <v>0</v>
      </c>
      <c r="E171" s="3">
        <f>D171*0.35</f>
        <v>0</v>
      </c>
      <c r="F171" s="4">
        <f>D171/218</f>
        <v>0</v>
      </c>
      <c r="G171" s="26"/>
      <c r="H171" s="23"/>
    </row>
    <row r="172" spans="1:8" s="24" customFormat="1">
      <c r="A172" s="2" t="s">
        <v>340</v>
      </c>
      <c r="B172" s="2" t="s">
        <v>341</v>
      </c>
      <c r="C172" s="2" t="s">
        <v>342</v>
      </c>
      <c r="D172" s="3">
        <v>0</v>
      </c>
      <c r="E172" s="3">
        <f>D172*0.595</f>
        <v>0</v>
      </c>
      <c r="F172" s="4">
        <f>D172/100</f>
        <v>0</v>
      </c>
      <c r="G172" s="26"/>
      <c r="H172" s="23"/>
    </row>
    <row r="173" spans="1:8" s="24" customFormat="1">
      <c r="A173" s="2" t="s">
        <v>343</v>
      </c>
      <c r="B173" s="2" t="s">
        <v>344</v>
      </c>
      <c r="C173" s="2" t="s">
        <v>345</v>
      </c>
      <c r="D173" s="3">
        <v>0</v>
      </c>
      <c r="E173" s="3">
        <f>D173*1.61</f>
        <v>0</v>
      </c>
      <c r="F173" s="4">
        <f>D173/48</f>
        <v>0</v>
      </c>
      <c r="G173" s="26"/>
      <c r="H173" s="23"/>
    </row>
    <row r="174" spans="1:8" s="24" customFormat="1">
      <c r="A174" s="2" t="s">
        <v>346</v>
      </c>
      <c r="B174" s="2" t="s">
        <v>347</v>
      </c>
      <c r="C174" s="2" t="s">
        <v>348</v>
      </c>
      <c r="D174" s="3">
        <v>0</v>
      </c>
      <c r="E174" s="3">
        <f>D174*1</f>
        <v>0</v>
      </c>
      <c r="F174" s="4">
        <f>D174/1000</f>
        <v>0</v>
      </c>
      <c r="G174" s="26"/>
      <c r="H174" s="23"/>
    </row>
    <row r="175" spans="1:8" s="24" customFormat="1">
      <c r="A175" s="2" t="s">
        <v>396</v>
      </c>
      <c r="B175" s="2" t="s">
        <v>359</v>
      </c>
      <c r="C175" s="2" t="s">
        <v>360</v>
      </c>
      <c r="D175" s="3">
        <v>0</v>
      </c>
      <c r="E175" s="3">
        <f>D175*1.66</f>
        <v>0</v>
      </c>
      <c r="F175" s="4">
        <f>D175/32</f>
        <v>0</v>
      </c>
      <c r="G175" s="26"/>
      <c r="H175" s="23"/>
    </row>
    <row r="176" spans="1:8" s="24" customFormat="1">
      <c r="A176" s="2" t="s">
        <v>349</v>
      </c>
      <c r="B176" s="2" t="s">
        <v>350</v>
      </c>
      <c r="C176" s="2" t="s">
        <v>351</v>
      </c>
      <c r="D176" s="3">
        <v>0</v>
      </c>
      <c r="E176" s="3">
        <f>D176*0.62</f>
        <v>0</v>
      </c>
      <c r="F176" s="4">
        <f>D176/104</f>
        <v>0</v>
      </c>
      <c r="G176" s="26"/>
      <c r="H176" s="23"/>
    </row>
    <row r="177" spans="1:8" s="24" customFormat="1">
      <c r="A177" s="2" t="s">
        <v>352</v>
      </c>
      <c r="B177" s="2" t="s">
        <v>353</v>
      </c>
      <c r="C177" s="2" t="s">
        <v>354</v>
      </c>
      <c r="D177" s="3">
        <v>0</v>
      </c>
      <c r="E177" s="3">
        <f>D177*0.435</f>
        <v>0</v>
      </c>
      <c r="F177" s="4">
        <f>D177/189</f>
        <v>0</v>
      </c>
      <c r="G177" s="26"/>
      <c r="H177" s="23"/>
    </row>
    <row r="178" spans="1:8" s="24" customFormat="1">
      <c r="A178" s="2" t="s">
        <v>355</v>
      </c>
      <c r="B178" s="2" t="s">
        <v>356</v>
      </c>
      <c r="C178" s="2" t="s">
        <v>351</v>
      </c>
      <c r="D178" s="3">
        <v>0</v>
      </c>
      <c r="E178" s="3">
        <f>D178*1.022</f>
        <v>0</v>
      </c>
      <c r="F178" s="4">
        <f>D178/90</f>
        <v>0</v>
      </c>
      <c r="G178" s="26"/>
      <c r="H178" s="23"/>
    </row>
    <row r="179" spans="1:8" s="24" customFormat="1">
      <c r="A179" s="2" t="s">
        <v>357</v>
      </c>
      <c r="B179" s="2" t="s">
        <v>358</v>
      </c>
      <c r="C179" s="2" t="s">
        <v>351</v>
      </c>
      <c r="D179" s="3">
        <v>0</v>
      </c>
      <c r="E179" s="3">
        <f>D179*0.64</f>
        <v>0</v>
      </c>
      <c r="F179" s="4">
        <f>D179/160</f>
        <v>0</v>
      </c>
      <c r="G179" s="26"/>
      <c r="H179" s="23"/>
    </row>
    <row r="180" spans="1:8" s="24" customFormat="1">
      <c r="A180" s="2" t="s">
        <v>361</v>
      </c>
      <c r="B180" s="2" t="s">
        <v>362</v>
      </c>
      <c r="C180" s="2" t="s">
        <v>363</v>
      </c>
      <c r="D180" s="3">
        <v>0</v>
      </c>
      <c r="E180" s="3">
        <f>D180*1.25</f>
        <v>0</v>
      </c>
      <c r="F180" s="4">
        <f>D180/40</f>
        <v>0</v>
      </c>
      <c r="G180" s="26"/>
      <c r="H180" s="23"/>
    </row>
    <row r="181" spans="1:8" s="24" customFormat="1">
      <c r="A181" s="2" t="s">
        <v>364</v>
      </c>
      <c r="B181" s="2" t="s">
        <v>362</v>
      </c>
      <c r="C181" s="2" t="s">
        <v>365</v>
      </c>
      <c r="D181" s="3">
        <v>0</v>
      </c>
      <c r="E181" s="3">
        <f>D181*0.58</f>
        <v>0</v>
      </c>
      <c r="F181" s="4">
        <f>D181/98</f>
        <v>0</v>
      </c>
      <c r="G181" s="26"/>
      <c r="H181" s="23"/>
    </row>
    <row r="182" spans="1:8" s="24" customFormat="1">
      <c r="A182" s="2" t="s">
        <v>366</v>
      </c>
      <c r="B182" s="2" t="s">
        <v>362</v>
      </c>
      <c r="C182" s="2" t="s">
        <v>365</v>
      </c>
      <c r="D182" s="3">
        <v>0</v>
      </c>
      <c r="E182" s="3">
        <f>D182*0.58</f>
        <v>0</v>
      </c>
      <c r="F182" s="4">
        <f t="shared" ref="F182" si="32">D182/98</f>
        <v>0</v>
      </c>
      <c r="G182" s="26"/>
      <c r="H182" s="23"/>
    </row>
    <row r="183" spans="1:8" s="24" customFormat="1" ht="15.75">
      <c r="A183" s="31" t="s">
        <v>399</v>
      </c>
      <c r="B183" s="31" t="s">
        <v>400</v>
      </c>
      <c r="C183" s="32" t="s">
        <v>401</v>
      </c>
      <c r="D183" s="3">
        <v>0</v>
      </c>
      <c r="E183" s="3">
        <f>D183*1.3</f>
        <v>0</v>
      </c>
      <c r="F183" s="4">
        <f>D183/60</f>
        <v>0</v>
      </c>
      <c r="G183" s="26"/>
      <c r="H183" s="23"/>
    </row>
    <row r="184" spans="1:8" s="24" customFormat="1">
      <c r="A184" s="2" t="s">
        <v>367</v>
      </c>
      <c r="B184" s="2" t="s">
        <v>368</v>
      </c>
      <c r="C184" s="2" t="s">
        <v>369</v>
      </c>
      <c r="D184" s="3">
        <v>0</v>
      </c>
      <c r="E184" s="3">
        <f>D184*0.93</f>
        <v>0</v>
      </c>
      <c r="F184" s="4">
        <f>D184/87</f>
        <v>0</v>
      </c>
      <c r="G184" s="26"/>
      <c r="H184" s="23"/>
    </row>
    <row r="185" spans="1:8" s="24" customFormat="1">
      <c r="A185" s="2" t="s">
        <v>370</v>
      </c>
      <c r="B185" s="2" t="s">
        <v>368</v>
      </c>
      <c r="C185" s="2" t="s">
        <v>371</v>
      </c>
      <c r="D185" s="3">
        <v>0</v>
      </c>
      <c r="E185" s="3">
        <f>D185*1.283</f>
        <v>0</v>
      </c>
      <c r="F185" s="4">
        <f>D185/56</f>
        <v>0</v>
      </c>
      <c r="G185" s="26"/>
      <c r="H185" s="23"/>
    </row>
    <row r="186" spans="1:8" s="24" customFormat="1">
      <c r="A186" s="2" t="s">
        <v>394</v>
      </c>
      <c r="B186" s="2" t="s">
        <v>368</v>
      </c>
      <c r="C186" s="2" t="s">
        <v>395</v>
      </c>
      <c r="D186" s="3">
        <v>0</v>
      </c>
      <c r="E186" s="3">
        <f>D186*0.49</f>
        <v>0</v>
      </c>
      <c r="F186" s="4">
        <f>D186/108</f>
        <v>0</v>
      </c>
      <c r="G186" s="26"/>
      <c r="H186" s="23"/>
    </row>
    <row r="187" spans="1:8" s="24" customFormat="1">
      <c r="A187" s="2" t="s">
        <v>372</v>
      </c>
      <c r="B187" s="2" t="s">
        <v>368</v>
      </c>
      <c r="C187" s="2" t="s">
        <v>373</v>
      </c>
      <c r="D187" s="3">
        <v>0</v>
      </c>
      <c r="E187" s="3">
        <f>D187*0.435</f>
        <v>0</v>
      </c>
      <c r="F187" s="4">
        <f>D187/100</f>
        <v>0</v>
      </c>
      <c r="G187" s="26"/>
      <c r="H187" s="23"/>
    </row>
    <row r="188" spans="1:8" s="24" customFormat="1">
      <c r="A188" s="2" t="s">
        <v>374</v>
      </c>
      <c r="B188" s="2" t="s">
        <v>368</v>
      </c>
      <c r="C188" s="2" t="s">
        <v>375</v>
      </c>
      <c r="D188" s="3">
        <v>0</v>
      </c>
      <c r="E188" s="3">
        <f>D188*0.45</f>
        <v>0</v>
      </c>
      <c r="F188" s="4">
        <f>D188/138</f>
        <v>0</v>
      </c>
      <c r="G188" s="26"/>
      <c r="H188" s="23"/>
    </row>
    <row r="189" spans="1:8" s="24" customFormat="1">
      <c r="A189" s="2" t="s">
        <v>376</v>
      </c>
      <c r="B189" s="2" t="s">
        <v>368</v>
      </c>
      <c r="C189" s="2" t="s">
        <v>377</v>
      </c>
      <c r="D189" s="3">
        <v>0</v>
      </c>
      <c r="E189" s="3">
        <f>D189*0.73</f>
        <v>0</v>
      </c>
      <c r="F189" s="4">
        <f>D189/78</f>
        <v>0</v>
      </c>
      <c r="G189" s="26"/>
      <c r="H189" s="23"/>
    </row>
    <row r="190" spans="1:8" s="24" customFormat="1">
      <c r="A190" s="2" t="s">
        <v>378</v>
      </c>
      <c r="B190" s="2" t="s">
        <v>379</v>
      </c>
      <c r="C190" s="2" t="s">
        <v>380</v>
      </c>
      <c r="D190" s="3">
        <v>0</v>
      </c>
      <c r="E190" s="3">
        <f>D190*1.05</f>
        <v>0</v>
      </c>
      <c r="F190" s="4">
        <f>D190/55</f>
        <v>0</v>
      </c>
      <c r="G190" s="26"/>
      <c r="H190" s="23"/>
    </row>
    <row r="191" spans="1:8" s="24" customFormat="1">
      <c r="A191" s="2" t="s">
        <v>381</v>
      </c>
      <c r="B191" s="2" t="s">
        <v>368</v>
      </c>
      <c r="C191" s="2" t="s">
        <v>382</v>
      </c>
      <c r="D191" s="3">
        <v>0</v>
      </c>
      <c r="E191" s="3">
        <f>D191*0.77</f>
        <v>0</v>
      </c>
      <c r="F191" s="4">
        <f>D191/140</f>
        <v>0</v>
      </c>
      <c r="G191" s="26"/>
      <c r="H191" s="23"/>
    </row>
    <row r="192" spans="1:8" s="24" customFormat="1">
      <c r="A192" s="2" t="s">
        <v>383</v>
      </c>
      <c r="B192" s="2" t="s">
        <v>384</v>
      </c>
      <c r="C192" s="2" t="s">
        <v>318</v>
      </c>
      <c r="D192" s="3">
        <v>0</v>
      </c>
      <c r="E192" s="3">
        <f>D192*0.8</f>
        <v>0</v>
      </c>
      <c r="F192" s="4">
        <f>D192/195</f>
        <v>0</v>
      </c>
      <c r="G192" s="26">
        <f>D192/6.25</f>
        <v>0</v>
      </c>
      <c r="H192" s="23"/>
    </row>
    <row r="193" spans="1:8" s="24" customFormat="1">
      <c r="A193" s="2" t="s">
        <v>385</v>
      </c>
      <c r="B193" s="2" t="s">
        <v>386</v>
      </c>
      <c r="C193" s="2" t="s">
        <v>387</v>
      </c>
      <c r="D193" s="3">
        <v>0</v>
      </c>
      <c r="E193" s="3">
        <f>D193*1.55</f>
        <v>0</v>
      </c>
      <c r="F193" s="4">
        <f>D193/65</f>
        <v>0</v>
      </c>
      <c r="G193" s="26">
        <f>D193/2.76</f>
        <v>0</v>
      </c>
      <c r="H193" s="23"/>
    </row>
    <row r="194" spans="1:8" s="24" customFormat="1">
      <c r="A194" s="2" t="s">
        <v>388</v>
      </c>
      <c r="B194" s="2" t="s">
        <v>389</v>
      </c>
      <c r="C194" s="2" t="s">
        <v>390</v>
      </c>
      <c r="D194" s="3">
        <v>0</v>
      </c>
      <c r="E194" s="3">
        <f>D194*2.134</f>
        <v>0</v>
      </c>
      <c r="F194" s="4">
        <f>D194/73</f>
        <v>0</v>
      </c>
      <c r="G194" s="26">
        <f>D194/3.33</f>
        <v>0</v>
      </c>
      <c r="H194" s="23"/>
    </row>
  </sheetData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Колор Маркет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2018-03-30T08:28:58Z</cp:lastPrinted>
  <dcterms:created xsi:type="dcterms:W3CDTF">2017-03-13T06:12:46Z</dcterms:created>
  <dcterms:modified xsi:type="dcterms:W3CDTF">2018-04-23T13:47:50Z</dcterms:modified>
</cp:coreProperties>
</file>